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206"/>
  <workbookPr filterPrivacy="1" showInkAnnotation="0" autoCompressPictures="0"/>
  <bookViews>
    <workbookView xWindow="11740" yWindow="80" windowWidth="15420" windowHeight="19020" tabRatio="500" firstSheet="1" activeTab="4"/>
  </bookViews>
  <sheets>
    <sheet name="Database" sheetId="8" r:id="rId1"/>
    <sheet name="Date" sheetId="9" r:id="rId2"/>
    <sheet name="Engineering" sheetId="3" r:id="rId3"/>
    <sheet name="Finance" sheetId="2" r:id="rId4"/>
    <sheet name="Information" sheetId="10" r:id="rId5"/>
    <sheet name="Logical" sheetId="4" r:id="rId6"/>
    <sheet name="Lookup" sheetId="7" r:id="rId7"/>
    <sheet name="Math" sheetId="1" r:id="rId8"/>
    <sheet name="Statistical" sheetId="6" r:id="rId9"/>
    <sheet name="Text" sheetId="5" r:id="rId10"/>
  </sheets>
  <calcPr calcId="140000" concurrentCalc="0"/>
  <pivotCaches>
    <pivotCache cacheId="13" r:id="rId11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1" i="5" l="1"/>
  <c r="B40" i="5"/>
  <c r="D144" i="6" a="1"/>
  <c r="D144" i="6"/>
  <c r="E144" i="6"/>
  <c r="F144" i="6"/>
  <c r="G144" i="6"/>
  <c r="H144" i="6"/>
  <c r="I144" i="6"/>
  <c r="H138" i="6" a="1"/>
  <c r="H138" i="6"/>
  <c r="I138" i="6"/>
  <c r="H139" i="6"/>
  <c r="I139" i="6"/>
  <c r="H140" i="6"/>
  <c r="I140" i="6"/>
  <c r="H141" i="6"/>
  <c r="I141" i="6"/>
  <c r="H142" i="6"/>
  <c r="I142" i="6"/>
  <c r="D138" i="6" a="1"/>
  <c r="D138" i="6"/>
  <c r="E138" i="6"/>
  <c r="D139" i="6"/>
  <c r="E139" i="6"/>
  <c r="D140" i="6"/>
  <c r="E140" i="6"/>
  <c r="D141" i="6"/>
  <c r="E141" i="6"/>
  <c r="D142" i="6"/>
  <c r="E142" i="6"/>
  <c r="B26" i="7" a="1"/>
  <c r="B26" i="7"/>
  <c r="C26" i="7"/>
  <c r="D26" i="7"/>
  <c r="B140" i="6"/>
  <c r="B139" i="6"/>
  <c r="B138" i="6"/>
  <c r="B136" i="6"/>
  <c r="B135" i="6"/>
  <c r="B134" i="6"/>
  <c r="B132" i="6"/>
  <c r="B131" i="6"/>
  <c r="B130" i="6"/>
  <c r="B129" i="6"/>
  <c r="B128" i="6"/>
  <c r="B133" i="6"/>
  <c r="B125" i="6"/>
  <c r="B124" i="6"/>
  <c r="B123" i="6"/>
  <c r="B122" i="6"/>
  <c r="B121" i="6"/>
  <c r="B120" i="6"/>
  <c r="B119" i="6"/>
  <c r="B118" i="6"/>
  <c r="B56" i="6"/>
  <c r="B57" i="6"/>
  <c r="B52" i="6"/>
  <c r="B55" i="6"/>
  <c r="B51" i="6"/>
  <c r="B54" i="6"/>
  <c r="B53" i="6"/>
  <c r="B47" i="6"/>
  <c r="B48" i="6"/>
  <c r="B45" i="6"/>
  <c r="B46" i="6"/>
  <c r="B43" i="6"/>
  <c r="B44" i="6"/>
  <c r="B41" i="6"/>
  <c r="B42" i="6"/>
  <c r="B39" i="6"/>
  <c r="B40" i="6"/>
  <c r="B38" i="6"/>
  <c r="B36" i="6"/>
  <c r="B37" i="6"/>
  <c r="B34" i="6"/>
  <c r="B33" i="6"/>
  <c r="B22" i="6"/>
  <c r="B24" i="6"/>
  <c r="B21" i="6"/>
  <c r="B23" i="6"/>
  <c r="B25" i="6"/>
  <c r="B26" i="6"/>
  <c r="B20" i="6"/>
  <c r="B19" i="6"/>
  <c r="B58" i="1"/>
  <c r="B102" i="6"/>
  <c r="B101" i="6"/>
  <c r="B27" i="6"/>
  <c r="B28" i="6"/>
  <c r="B18" i="6"/>
  <c r="B97" i="6"/>
  <c r="B96" i="6"/>
  <c r="B95" i="6"/>
  <c r="B24" i="1"/>
  <c r="B25" i="1"/>
  <c r="B31" i="6"/>
  <c r="B32" i="6"/>
  <c r="B29" i="6"/>
  <c r="B30" i="6"/>
  <c r="B35" i="6"/>
  <c r="B40" i="1"/>
  <c r="B17" i="6"/>
  <c r="B16" i="6"/>
  <c r="B15" i="6"/>
  <c r="B12" i="6"/>
  <c r="B14" i="6"/>
  <c r="B11" i="6"/>
  <c r="B13" i="6"/>
  <c r="B9" i="6"/>
  <c r="B10" i="6"/>
  <c r="B100" i="6"/>
  <c r="B99" i="6"/>
  <c r="B98" i="6"/>
  <c r="B7" i="6"/>
  <c r="B8" i="6"/>
  <c r="B6" i="6"/>
  <c r="B88" i="6"/>
  <c r="B87" i="6"/>
  <c r="B86" i="6"/>
  <c r="B85" i="6"/>
  <c r="B84" i="6"/>
  <c r="B83" i="6"/>
  <c r="B82" i="6"/>
  <c r="B81" i="6"/>
  <c r="B5" i="6"/>
  <c r="B4" i="6"/>
  <c r="B3" i="6"/>
  <c r="B2" i="6"/>
  <c r="B50" i="6"/>
  <c r="B49" i="6"/>
  <c r="B108" i="6"/>
  <c r="B107" i="6"/>
  <c r="B106" i="6"/>
  <c r="B105" i="6"/>
  <c r="B104" i="6"/>
  <c r="B103" i="6"/>
  <c r="B115" i="6"/>
  <c r="B114" i="6"/>
  <c r="B113" i="6"/>
  <c r="B112" i="6"/>
  <c r="B111" i="6"/>
  <c r="B110" i="6"/>
  <c r="B80" i="6"/>
  <c r="B79" i="6"/>
  <c r="B78" i="6"/>
  <c r="B77" i="6"/>
  <c r="B94" i="6"/>
  <c r="B93" i="6"/>
  <c r="B92" i="6"/>
  <c r="B91" i="6"/>
  <c r="B90" i="6"/>
  <c r="B89" i="6"/>
  <c r="B58" i="6"/>
  <c r="B59" i="6"/>
  <c r="B67" i="6"/>
  <c r="B75" i="6"/>
  <c r="B74" i="6"/>
  <c r="B73" i="6"/>
  <c r="B76" i="6"/>
  <c r="B72" i="6"/>
  <c r="B71" i="6"/>
  <c r="B69" i="6"/>
  <c r="B68" i="6"/>
  <c r="B70" i="6"/>
  <c r="B66" i="6"/>
  <c r="B65" i="6"/>
  <c r="B64" i="6"/>
  <c r="B63" i="6"/>
  <c r="B62" i="6"/>
  <c r="B37" i="5"/>
  <c r="B39" i="5"/>
  <c r="B20" i="5"/>
  <c r="B17" i="5"/>
  <c r="B35" i="5"/>
  <c r="B34" i="5"/>
  <c r="B49" i="5"/>
  <c r="B48" i="5"/>
  <c r="B46" i="5"/>
  <c r="B47" i="5"/>
  <c r="B5" i="5"/>
  <c r="B4" i="5"/>
  <c r="B33" i="5"/>
  <c r="B27" i="5"/>
  <c r="B26" i="5"/>
  <c r="B29" i="5"/>
  <c r="B28" i="5"/>
  <c r="B25" i="5"/>
  <c r="B24" i="5"/>
  <c r="B32" i="5"/>
  <c r="B16" i="5"/>
  <c r="B42" i="5"/>
  <c r="B8" i="5"/>
  <c r="B10" i="5"/>
  <c r="B43" i="5"/>
  <c r="B15" i="5"/>
  <c r="B9" i="5"/>
  <c r="B14" i="5"/>
  <c r="B3" i="5"/>
  <c r="B13" i="5"/>
  <c r="B2" i="5"/>
  <c r="B21" i="5"/>
  <c r="C38" i="5"/>
  <c r="B38" i="5"/>
  <c r="B6" i="7"/>
  <c r="B16" i="7"/>
  <c r="B21" i="7"/>
  <c r="B5" i="7"/>
  <c r="B3" i="7"/>
  <c r="B11" i="7"/>
  <c r="B19" i="7"/>
  <c r="B20" i="7"/>
  <c r="B18" i="7"/>
  <c r="B17" i="7"/>
  <c r="B23" i="7"/>
  <c r="B15" i="7"/>
  <c r="B4" i="7"/>
  <c r="B2" i="7"/>
  <c r="B21" i="1"/>
  <c r="B14" i="7"/>
  <c r="B7" i="7"/>
  <c r="B10" i="7"/>
  <c r="B17" i="10"/>
  <c r="B13" i="10"/>
  <c r="C9" i="10"/>
  <c r="B16" i="10"/>
  <c r="B15" i="10"/>
  <c r="B14" i="10"/>
  <c r="B12" i="10"/>
  <c r="B11" i="10"/>
  <c r="B10" i="10"/>
  <c r="B9" i="10"/>
  <c r="B8" i="10"/>
  <c r="B7" i="10"/>
  <c r="C2" i="10"/>
  <c r="B6" i="10"/>
  <c r="B5" i="10"/>
  <c r="B4" i="10"/>
  <c r="B3" i="10"/>
  <c r="B2" i="10"/>
  <c r="B1" i="10"/>
  <c r="B2" i="1"/>
  <c r="B17" i="1"/>
  <c r="B22" i="9"/>
  <c r="B28" i="9"/>
  <c r="B27" i="9"/>
  <c r="B26" i="9"/>
  <c r="B25" i="9"/>
  <c r="B24" i="9"/>
  <c r="B7" i="9"/>
  <c r="B2" i="9"/>
  <c r="B17" i="9"/>
  <c r="B16" i="9"/>
  <c r="B5" i="9"/>
  <c r="B4" i="9"/>
  <c r="B13" i="9"/>
  <c r="B12" i="9"/>
  <c r="B10" i="9"/>
  <c r="B11" i="9"/>
  <c r="B14" i="9"/>
  <c r="B6" i="9"/>
  <c r="B15" i="9"/>
  <c r="B23" i="9"/>
  <c r="C20" i="9"/>
  <c r="B21" i="9"/>
  <c r="B3" i="9"/>
  <c r="B20" i="9"/>
  <c r="B16" i="8"/>
  <c r="B7" i="8"/>
  <c r="B6" i="8"/>
  <c r="B5" i="8"/>
  <c r="B4" i="8"/>
  <c r="B13" i="8"/>
  <c r="B12" i="8"/>
  <c r="B8" i="8"/>
  <c r="B9" i="8"/>
  <c r="B10" i="8"/>
  <c r="B11" i="8"/>
  <c r="B2" i="8"/>
  <c r="B3" i="8"/>
  <c r="D11" i="8"/>
  <c r="C12" i="4"/>
  <c r="B12" i="4"/>
  <c r="B11" i="4"/>
  <c r="B8" i="4"/>
  <c r="B7" i="4"/>
  <c r="B3" i="4"/>
  <c r="B2" i="4"/>
  <c r="B6" i="4"/>
  <c r="D45" i="3"/>
  <c r="D49" i="3"/>
  <c r="D50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E2" i="3"/>
  <c r="B44" i="3"/>
  <c r="B50" i="3"/>
  <c r="B49" i="3"/>
  <c r="B48" i="3"/>
  <c r="B47" i="3"/>
  <c r="B46" i="3"/>
  <c r="B45" i="3"/>
  <c r="B43" i="3"/>
  <c r="B42" i="3"/>
  <c r="B39" i="3"/>
  <c r="B41" i="3"/>
  <c r="B40" i="3"/>
  <c r="B38" i="3"/>
  <c r="B37" i="3"/>
  <c r="B36" i="3"/>
  <c r="B35" i="3"/>
  <c r="B34" i="3"/>
  <c r="C33" i="3"/>
  <c r="B33" i="3"/>
  <c r="B30" i="3"/>
  <c r="B29" i="3"/>
  <c r="B14" i="3"/>
  <c r="B19" i="3"/>
  <c r="B26" i="3"/>
  <c r="B25" i="3"/>
  <c r="B24" i="3"/>
  <c r="B22" i="3"/>
  <c r="B23" i="3"/>
  <c r="B21" i="3"/>
  <c r="B20" i="3"/>
  <c r="B18" i="3"/>
  <c r="B15" i="3"/>
  <c r="B16" i="3"/>
  <c r="B17" i="3"/>
  <c r="B5" i="3"/>
  <c r="B4" i="3"/>
  <c r="B3" i="3"/>
  <c r="B8" i="3"/>
  <c r="B9" i="3"/>
  <c r="B10" i="3"/>
  <c r="B11" i="3"/>
  <c r="B2" i="3"/>
  <c r="B47" i="2"/>
  <c r="B46" i="2"/>
  <c r="B45" i="2"/>
  <c r="B44" i="2"/>
  <c r="B25" i="2"/>
  <c r="B24" i="2"/>
  <c r="D48" i="2"/>
  <c r="E48" i="2"/>
  <c r="B53" i="2"/>
  <c r="B52" i="2"/>
  <c r="B51" i="2"/>
  <c r="B50" i="2"/>
  <c r="B49" i="2"/>
  <c r="B48" i="2"/>
  <c r="B11" i="2"/>
  <c r="B12" i="2"/>
  <c r="B10" i="2"/>
  <c r="B9" i="2"/>
  <c r="B8" i="2"/>
  <c r="B13" i="2"/>
  <c r="C13" i="2"/>
  <c r="B18" i="2"/>
  <c r="B43" i="2"/>
  <c r="B42" i="2"/>
  <c r="B32" i="2"/>
  <c r="B31" i="2"/>
  <c r="B23" i="2"/>
  <c r="B22" i="2"/>
  <c r="B21" i="2"/>
  <c r="B20" i="2"/>
  <c r="B19" i="2"/>
  <c r="B17" i="2"/>
  <c r="B16" i="2"/>
  <c r="B41" i="2"/>
  <c r="B40" i="2"/>
  <c r="B39" i="2"/>
  <c r="B38" i="2"/>
  <c r="B37" i="2"/>
  <c r="B36" i="2"/>
  <c r="B4" i="2"/>
  <c r="B5" i="2"/>
  <c r="B35" i="2"/>
  <c r="B34" i="2"/>
  <c r="B33" i="2"/>
  <c r="B62" i="2"/>
  <c r="B61" i="2"/>
  <c r="B56" i="2"/>
  <c r="B58" i="2"/>
  <c r="B60" i="2"/>
  <c r="B59" i="2"/>
  <c r="B57" i="2"/>
  <c r="B2" i="2"/>
  <c r="B3" i="2"/>
  <c r="B28" i="2"/>
  <c r="B29" i="2"/>
  <c r="B30" i="2"/>
  <c r="B52" i="1"/>
  <c r="B53" i="1"/>
  <c r="B54" i="1"/>
  <c r="B55" i="1"/>
  <c r="B56" i="1"/>
  <c r="B57" i="1"/>
  <c r="B59" i="1"/>
  <c r="D60" i="1"/>
  <c r="C60" i="1"/>
  <c r="B60" i="1"/>
  <c r="B61" i="1"/>
  <c r="C61" i="1"/>
  <c r="B62" i="1"/>
  <c r="C63" i="1"/>
  <c r="B63" i="1"/>
  <c r="C64" i="1"/>
  <c r="B64" i="1"/>
  <c r="B65" i="1"/>
  <c r="B66" i="1"/>
  <c r="B67" i="1"/>
  <c r="B68" i="1"/>
  <c r="B69" i="1"/>
  <c r="B70" i="1"/>
  <c r="B5" i="1"/>
  <c r="B51" i="1"/>
  <c r="B50" i="1"/>
  <c r="B49" i="1"/>
  <c r="C48" i="1"/>
  <c r="B48" i="1"/>
  <c r="B47" i="1"/>
  <c r="B46" i="1"/>
  <c r="B45" i="1"/>
  <c r="B44" i="1"/>
  <c r="B43" i="1"/>
  <c r="B42" i="1"/>
  <c r="B41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3" i="1"/>
  <c r="B22" i="1"/>
  <c r="B20" i="1"/>
  <c r="B19" i="1"/>
  <c r="B18" i="1"/>
  <c r="B16" i="1"/>
  <c r="B15" i="1"/>
  <c r="B14" i="1"/>
  <c r="B13" i="1"/>
  <c r="B11" i="1"/>
  <c r="B12" i="1"/>
  <c r="B10" i="1"/>
  <c r="B9" i="1"/>
  <c r="B8" i="1"/>
  <c r="B7" i="1"/>
  <c r="B6" i="1"/>
  <c r="B4" i="1"/>
  <c r="B3" i="1"/>
</calcChain>
</file>

<file path=xl/sharedStrings.xml><?xml version="1.0" encoding="utf-8"?>
<sst xmlns="http://schemas.openxmlformats.org/spreadsheetml/2006/main" count="554" uniqueCount="515">
  <si>
    <t>ABS</t>
  </si>
  <si>
    <t>ACOS</t>
  </si>
  <si>
    <t>ACOSH</t>
  </si>
  <si>
    <t>AGGREGATE</t>
  </si>
  <si>
    <t>ASIN</t>
  </si>
  <si>
    <t>ASINH</t>
  </si>
  <si>
    <t>ATAN</t>
  </si>
  <si>
    <t>ATAN2</t>
  </si>
  <si>
    <t>ATANH</t>
  </si>
  <si>
    <t>CEILING</t>
  </si>
  <si>
    <t>CEILING.PRECISE</t>
  </si>
  <si>
    <t>COMBIN</t>
  </si>
  <si>
    <t>COS</t>
  </si>
  <si>
    <t>COSH</t>
  </si>
  <si>
    <t>DEGREES</t>
  </si>
  <si>
    <t>EVEN</t>
  </si>
  <si>
    <t>EXP</t>
  </si>
  <si>
    <t>FACT</t>
  </si>
  <si>
    <t>FACTDOUBLE</t>
  </si>
  <si>
    <t>FLOOR</t>
  </si>
  <si>
    <t>FLOOR.PRECISE</t>
  </si>
  <si>
    <t>GCD</t>
  </si>
  <si>
    <t>INT</t>
  </si>
  <si>
    <t>ISO.CEILING</t>
  </si>
  <si>
    <t>LCM</t>
  </si>
  <si>
    <t>LN</t>
  </si>
  <si>
    <t>LOG</t>
  </si>
  <si>
    <t>LOG10</t>
  </si>
  <si>
    <t>MDETERM</t>
  </si>
  <si>
    <t>MINVERSE</t>
  </si>
  <si>
    <t>MMULT</t>
  </si>
  <si>
    <t>MOD</t>
  </si>
  <si>
    <t>MROUND</t>
  </si>
  <si>
    <t>MULTINOMIAL</t>
  </si>
  <si>
    <t>ODD</t>
  </si>
  <si>
    <t>PI</t>
  </si>
  <si>
    <t>POWER</t>
  </si>
  <si>
    <t>PRODUCT</t>
  </si>
  <si>
    <t>QUOTIENT</t>
  </si>
  <si>
    <t>RADIANS</t>
  </si>
  <si>
    <t>RAND</t>
  </si>
  <si>
    <t>RANDBETWEEN</t>
  </si>
  <si>
    <t>ROMAN</t>
  </si>
  <si>
    <t>ROUND</t>
  </si>
  <si>
    <t>ROUNDDOWN</t>
  </si>
  <si>
    <t>ROUNDUP</t>
  </si>
  <si>
    <t>SERIESSUM</t>
  </si>
  <si>
    <t>SIGN</t>
  </si>
  <si>
    <t>SIN</t>
  </si>
  <si>
    <t>SINH</t>
  </si>
  <si>
    <t>SQRT</t>
  </si>
  <si>
    <t>SQRTPI</t>
  </si>
  <si>
    <t>SUBTOTAL</t>
  </si>
  <si>
    <t>SUM</t>
  </si>
  <si>
    <t>SUMIF</t>
  </si>
  <si>
    <t>SUMIFS</t>
  </si>
  <si>
    <t>SUMPRODUCT</t>
  </si>
  <si>
    <t>SUMSQ</t>
  </si>
  <si>
    <t>SUMX2MY2</t>
  </si>
  <si>
    <t>SUMX2PY2</t>
  </si>
  <si>
    <t>SUMXMY2</t>
  </si>
  <si>
    <t>TAN</t>
  </si>
  <si>
    <t>TANH</t>
  </si>
  <si>
    <t>TRUNC</t>
  </si>
  <si>
    <t xml:space="preserve">ACCRINT </t>
  </si>
  <si>
    <t xml:space="preserve">ACCRINTM </t>
  </si>
  <si>
    <t xml:space="preserve">AMORDEGRC </t>
  </si>
  <si>
    <t xml:space="preserve">AMORLINC </t>
  </si>
  <si>
    <t xml:space="preserve">COUPDAYBS </t>
  </si>
  <si>
    <t xml:space="preserve">COUPDAYS </t>
  </si>
  <si>
    <t xml:space="preserve">COUPDAYSNC </t>
  </si>
  <si>
    <t xml:space="preserve">COUPNCD </t>
  </si>
  <si>
    <t xml:space="preserve">COUPNUM </t>
  </si>
  <si>
    <t xml:space="preserve">COUPPCD </t>
  </si>
  <si>
    <t xml:space="preserve">CUMIPMT </t>
  </si>
  <si>
    <t xml:space="preserve">CUMPRINC </t>
  </si>
  <si>
    <t xml:space="preserve">DB </t>
  </si>
  <si>
    <t xml:space="preserve">DDB </t>
  </si>
  <si>
    <t xml:space="preserve">DISC </t>
  </si>
  <si>
    <t xml:space="preserve">DOLLARDE </t>
  </si>
  <si>
    <t xml:space="preserve">DOLLARFR </t>
  </si>
  <si>
    <t xml:space="preserve">DURATION </t>
  </si>
  <si>
    <t xml:space="preserve">EFFECT </t>
  </si>
  <si>
    <t xml:space="preserve">FV </t>
  </si>
  <si>
    <t xml:space="preserve">FVSCHEDULE </t>
  </si>
  <si>
    <t xml:space="preserve">INTRATE </t>
  </si>
  <si>
    <t xml:space="preserve">IPMT </t>
  </si>
  <si>
    <t xml:space="preserve">IRR </t>
  </si>
  <si>
    <t xml:space="preserve">ISPMT </t>
  </si>
  <si>
    <t xml:space="preserve">MDURATION </t>
  </si>
  <si>
    <t xml:space="preserve">MIRR </t>
  </si>
  <si>
    <t xml:space="preserve">NOMINAL </t>
  </si>
  <si>
    <t xml:space="preserve">NPER </t>
  </si>
  <si>
    <t xml:space="preserve">NPV </t>
  </si>
  <si>
    <t xml:space="preserve">ODDFPRICE </t>
  </si>
  <si>
    <t xml:space="preserve">ODDFYIELD </t>
  </si>
  <si>
    <t xml:space="preserve">ODDLPRICE </t>
  </si>
  <si>
    <t xml:space="preserve">ODDLYIELD </t>
  </si>
  <si>
    <t xml:space="preserve">PMT </t>
  </si>
  <si>
    <t xml:space="preserve">PPMT </t>
  </si>
  <si>
    <t xml:space="preserve">PRICE </t>
  </si>
  <si>
    <t xml:space="preserve">PRICEDISC </t>
  </si>
  <si>
    <t xml:space="preserve">PRICEMAT </t>
  </si>
  <si>
    <t xml:space="preserve">PV </t>
  </si>
  <si>
    <t xml:space="preserve">RATE </t>
  </si>
  <si>
    <t xml:space="preserve">RECEIVED </t>
  </si>
  <si>
    <t xml:space="preserve">SLN </t>
  </si>
  <si>
    <t xml:space="preserve">SYD </t>
  </si>
  <si>
    <t xml:space="preserve">TBILLEQ </t>
  </si>
  <si>
    <t xml:space="preserve">TBILLPRICE </t>
  </si>
  <si>
    <t xml:space="preserve">TBILLYIELD </t>
  </si>
  <si>
    <t xml:space="preserve">VDB </t>
  </si>
  <si>
    <t xml:space="preserve">XIRR </t>
  </si>
  <si>
    <t xml:space="preserve">XNPV </t>
  </si>
  <si>
    <t xml:space="preserve">YIELD </t>
  </si>
  <si>
    <t xml:space="preserve">YIELDDISC </t>
  </si>
  <si>
    <t xml:space="preserve">YIELDMAT </t>
  </si>
  <si>
    <t>settlement</t>
  </si>
  <si>
    <t>maturity</t>
  </si>
  <si>
    <t>discount</t>
  </si>
  <si>
    <t>pr</t>
  </si>
  <si>
    <t>Conversion</t>
  </si>
  <si>
    <t>Depreciation</t>
  </si>
  <si>
    <t>cost</t>
  </si>
  <si>
    <t>salvage</t>
  </si>
  <si>
    <t>life</t>
  </si>
  <si>
    <t>period</t>
  </si>
  <si>
    <t>datepurc</t>
  </si>
  <si>
    <t>datefirst</t>
  </si>
  <si>
    <t>rate</t>
  </si>
  <si>
    <t>Securities</t>
  </si>
  <si>
    <t>redemption</t>
  </si>
  <si>
    <t>Annuities</t>
  </si>
  <si>
    <t>nper</t>
  </si>
  <si>
    <t>pmt</t>
  </si>
  <si>
    <t>pv</t>
  </si>
  <si>
    <t>Cash Flows</t>
  </si>
  <si>
    <t>BESSELI</t>
  </si>
  <si>
    <t>BESSELJ</t>
  </si>
  <si>
    <t>BESSELK</t>
  </si>
  <si>
    <t>BESSELY</t>
  </si>
  <si>
    <t>BIN2DEC</t>
  </si>
  <si>
    <t>BIN2HEX</t>
  </si>
  <si>
    <t>BIN2OCT</t>
  </si>
  <si>
    <t>COMPLEX</t>
  </si>
  <si>
    <t>CONVERT</t>
  </si>
  <si>
    <t>DEC2BIN</t>
  </si>
  <si>
    <t>DEC2HEX</t>
  </si>
  <si>
    <t>DEC2OCT</t>
  </si>
  <si>
    <t>DELTA</t>
  </si>
  <si>
    <t>ERF</t>
  </si>
  <si>
    <t>ERF.PRECISE</t>
  </si>
  <si>
    <t>ERFC</t>
  </si>
  <si>
    <t>ERFC.PRECISE</t>
  </si>
  <si>
    <t>GESTEP</t>
  </si>
  <si>
    <t>HEX2BIN</t>
  </si>
  <si>
    <t>HEX2DEC</t>
  </si>
  <si>
    <t>HEX2OCT</t>
  </si>
  <si>
    <t>IMABS</t>
  </si>
  <si>
    <t>IMAGINARY</t>
  </si>
  <si>
    <t>IMARGUMENT</t>
  </si>
  <si>
    <t>IMCONJUGATE</t>
  </si>
  <si>
    <t>IMCOS</t>
  </si>
  <si>
    <t>IMDIV</t>
  </si>
  <si>
    <t>IMEXP</t>
  </si>
  <si>
    <t>IMLN</t>
  </si>
  <si>
    <t>IMLOG10</t>
  </si>
  <si>
    <t>IMLOG2</t>
  </si>
  <si>
    <t>IMPOWER</t>
  </si>
  <si>
    <t>IMPRODUCT</t>
  </si>
  <si>
    <t>IMREAL</t>
  </si>
  <si>
    <t>IMSIN</t>
  </si>
  <si>
    <t>IMSQRT</t>
  </si>
  <si>
    <t>IMSUB</t>
  </si>
  <si>
    <t>IMSUM</t>
  </si>
  <si>
    <t>OCT2BIN</t>
  </si>
  <si>
    <t>OCT2DEC</t>
  </si>
  <si>
    <t>OCT2HEX</t>
  </si>
  <si>
    <t>Bessel</t>
  </si>
  <si>
    <t>Complex</t>
  </si>
  <si>
    <t>Dirac and Heaviside</t>
  </si>
  <si>
    <t>Error Function</t>
  </si>
  <si>
    <t>K</t>
  </si>
  <si>
    <t>C</t>
  </si>
  <si>
    <t>AND</t>
  </si>
  <si>
    <t>FALSE</t>
  </si>
  <si>
    <t>IF</t>
  </si>
  <si>
    <t>IFERROR</t>
  </si>
  <si>
    <t>NOT</t>
  </si>
  <si>
    <t>OR</t>
  </si>
  <si>
    <t>TRUE</t>
  </si>
  <si>
    <t>Singletons</t>
  </si>
  <si>
    <t>Operators</t>
  </si>
  <si>
    <t>Conditionals</t>
  </si>
  <si>
    <t>ASC</t>
  </si>
  <si>
    <t>CHAR</t>
  </si>
  <si>
    <t>CLEAN</t>
  </si>
  <si>
    <t>CODE</t>
  </si>
  <si>
    <t>CONCATENATE</t>
  </si>
  <si>
    <t>DOLLAR</t>
  </si>
  <si>
    <t>EXACT</t>
  </si>
  <si>
    <t>FIND</t>
  </si>
  <si>
    <t>FINDB</t>
  </si>
  <si>
    <t>FIXED</t>
  </si>
  <si>
    <t>JIS</t>
  </si>
  <si>
    <t>LEFT</t>
  </si>
  <si>
    <t>LEFTB</t>
  </si>
  <si>
    <t>LEN</t>
  </si>
  <si>
    <t>LENB</t>
  </si>
  <si>
    <t>LOWER</t>
  </si>
  <si>
    <t>MID</t>
  </si>
  <si>
    <t>MIDB</t>
  </si>
  <si>
    <t>PHONETIC</t>
  </si>
  <si>
    <t>PROPER</t>
  </si>
  <si>
    <t>REPLACE</t>
  </si>
  <si>
    <t>REPLACEB</t>
  </si>
  <si>
    <t>REPT</t>
  </si>
  <si>
    <t>RIGHT</t>
  </si>
  <si>
    <t>RIGHTB</t>
  </si>
  <si>
    <t>SEARCH</t>
  </si>
  <si>
    <t>SEARCHB</t>
  </si>
  <si>
    <t>SUBSTITUTE</t>
  </si>
  <si>
    <t>T</t>
  </si>
  <si>
    <t>TEXT</t>
  </si>
  <si>
    <t>TRIM</t>
  </si>
  <si>
    <t>UPPER</t>
  </si>
  <si>
    <t>VALUE</t>
  </si>
  <si>
    <t>YEN</t>
  </si>
  <si>
    <t>AVEDEV</t>
  </si>
  <si>
    <t>AVERAGE</t>
  </si>
  <si>
    <t>AVERAGEA</t>
  </si>
  <si>
    <t>AVERAGEIF</t>
  </si>
  <si>
    <t>AVERAGEIFS</t>
  </si>
  <si>
    <t>BETA.DIST</t>
  </si>
  <si>
    <t>BETA.INV</t>
  </si>
  <si>
    <t>BETADIST</t>
  </si>
  <si>
    <t>BETAINV</t>
  </si>
  <si>
    <t>BINOM.DIST</t>
  </si>
  <si>
    <t>BINOM.INV</t>
  </si>
  <si>
    <t>BINOMDIST</t>
  </si>
  <si>
    <t>CHIDIST</t>
  </si>
  <si>
    <t>CHIINV</t>
  </si>
  <si>
    <t>CHISQ.DIST</t>
  </si>
  <si>
    <t>CHISQ.DIST.RT</t>
  </si>
  <si>
    <t>CHISQ.INV</t>
  </si>
  <si>
    <t>CHISQ.INV.RT</t>
  </si>
  <si>
    <t>CHISQ.TEST</t>
  </si>
  <si>
    <t>CHITEST</t>
  </si>
  <si>
    <t>CONFIDENCE</t>
  </si>
  <si>
    <t>CONFIDENCE.NORM</t>
  </si>
  <si>
    <t>CONFIDENCE.T</t>
  </si>
  <si>
    <t>CORREL</t>
  </si>
  <si>
    <t>COUNT</t>
  </si>
  <si>
    <t>COUNTA</t>
  </si>
  <si>
    <t>COUNTBLANK</t>
  </si>
  <si>
    <t>COUNTIF</t>
  </si>
  <si>
    <t>COUNTIFS</t>
  </si>
  <si>
    <t>COVAR</t>
  </si>
  <si>
    <t>COVARIANCE.P</t>
  </si>
  <si>
    <t>COVARIANCE.S</t>
  </si>
  <si>
    <t>CRITBINOM</t>
  </si>
  <si>
    <t>DEVSQ</t>
  </si>
  <si>
    <t>EXPON.DIST</t>
  </si>
  <si>
    <t>EXPONDIST</t>
  </si>
  <si>
    <t>F.DIST</t>
  </si>
  <si>
    <t>F.DIST.RT</t>
  </si>
  <si>
    <t>F.INV</t>
  </si>
  <si>
    <t>F.INV.RT</t>
  </si>
  <si>
    <t>F.TEST</t>
  </si>
  <si>
    <t>FDIST</t>
  </si>
  <si>
    <t>FINV</t>
  </si>
  <si>
    <t>FISHER</t>
  </si>
  <si>
    <t>FISHERINV</t>
  </si>
  <si>
    <t>FORECAST</t>
  </si>
  <si>
    <t>FREQUENCY</t>
  </si>
  <si>
    <t>FTEST</t>
  </si>
  <si>
    <t>GAMMA.DIST</t>
  </si>
  <si>
    <t>GAMMA.INV</t>
  </si>
  <si>
    <t>GAMMADIST</t>
  </si>
  <si>
    <t>GAMMAINV</t>
  </si>
  <si>
    <t>GAMMALN</t>
  </si>
  <si>
    <t>GAMMALN.PRECISE</t>
  </si>
  <si>
    <t>GEOMEAN</t>
  </si>
  <si>
    <t>GROWTH</t>
  </si>
  <si>
    <t>HARMEAN</t>
  </si>
  <si>
    <t>HYPGEOM.DIST</t>
  </si>
  <si>
    <t>HYPGEOMDIST</t>
  </si>
  <si>
    <t>INTERCEPT</t>
  </si>
  <si>
    <t>KURT</t>
  </si>
  <si>
    <t>LARGE</t>
  </si>
  <si>
    <t>LINEST</t>
  </si>
  <si>
    <t>LOGEST</t>
  </si>
  <si>
    <t>LOGINV</t>
  </si>
  <si>
    <t>LOGNORM.DIST</t>
  </si>
  <si>
    <t>LOGNORM.INV</t>
  </si>
  <si>
    <t>LOGNORMDIST</t>
  </si>
  <si>
    <t>MAX</t>
  </si>
  <si>
    <t>MAXA</t>
  </si>
  <si>
    <t>MEDIAN</t>
  </si>
  <si>
    <t>MIN</t>
  </si>
  <si>
    <t>MINA</t>
  </si>
  <si>
    <t>MODE</t>
  </si>
  <si>
    <t>MODE.MULT</t>
  </si>
  <si>
    <t>MODE.SNGL</t>
  </si>
  <si>
    <t>NEGBINOM.DIST</t>
  </si>
  <si>
    <t>NEGBINOMDIST</t>
  </si>
  <si>
    <t>NORM.DIST</t>
  </si>
  <si>
    <t>NORM.INV</t>
  </si>
  <si>
    <t>NORM.S.DIST</t>
  </si>
  <si>
    <t>NORM.S.INV</t>
  </si>
  <si>
    <t>NORMDIST</t>
  </si>
  <si>
    <t>NORMINV</t>
  </si>
  <si>
    <t>NORMSDIST</t>
  </si>
  <si>
    <t>NORMSINV</t>
  </si>
  <si>
    <t>PEARSON</t>
  </si>
  <si>
    <t>PERCENTILE</t>
  </si>
  <si>
    <t>PERCENTILE.EXC</t>
  </si>
  <si>
    <t>PERCENTILE.INC</t>
  </si>
  <si>
    <t>PERCENTRANK</t>
  </si>
  <si>
    <t>PERCENTRANK.EXC</t>
  </si>
  <si>
    <t>PERCENTRANK.INC</t>
  </si>
  <si>
    <t>PERMUT</t>
  </si>
  <si>
    <t>POISSON</t>
  </si>
  <si>
    <t>POISSON.DIST</t>
  </si>
  <si>
    <t>PROB</t>
  </si>
  <si>
    <t>QUARTILE</t>
  </si>
  <si>
    <t>QUARTILE.EXC</t>
  </si>
  <si>
    <t>QUARTILE.INC</t>
  </si>
  <si>
    <t>RANK</t>
  </si>
  <si>
    <t>RANK.AVG</t>
  </si>
  <si>
    <t>RANK.EQ</t>
  </si>
  <si>
    <t>RSQ</t>
  </si>
  <si>
    <t>SKEW</t>
  </si>
  <si>
    <t>SLOPE</t>
  </si>
  <si>
    <t>SMALL</t>
  </si>
  <si>
    <t>STANDARDIZE</t>
  </si>
  <si>
    <t>STDEV</t>
  </si>
  <si>
    <t>STDEV.P</t>
  </si>
  <si>
    <t>STDEV.S</t>
  </si>
  <si>
    <t>STDEVA</t>
  </si>
  <si>
    <t>STDEVP</t>
  </si>
  <si>
    <t>STDEVPA</t>
  </si>
  <si>
    <t>STEYX</t>
  </si>
  <si>
    <t>T.DIST</t>
  </si>
  <si>
    <t>T.DIST.2T</t>
  </si>
  <si>
    <t>T.DIST.RT</t>
  </si>
  <si>
    <t>T.INV</t>
  </si>
  <si>
    <t>T.INV.2T</t>
  </si>
  <si>
    <t>T.TEST</t>
  </si>
  <si>
    <t>TDIST</t>
  </si>
  <si>
    <t>TINV</t>
  </si>
  <si>
    <t>TREND</t>
  </si>
  <si>
    <t>TRIMMEAN</t>
  </si>
  <si>
    <t>TTEST</t>
  </si>
  <si>
    <t>VAR</t>
  </si>
  <si>
    <t>VAR.P</t>
  </si>
  <si>
    <t>VAR.S</t>
  </si>
  <si>
    <t>VARA</t>
  </si>
  <si>
    <t>VARP</t>
  </si>
  <si>
    <t>VARPA</t>
  </si>
  <si>
    <t>WEIBULL</t>
  </si>
  <si>
    <t>WEIBULL.DIST</t>
  </si>
  <si>
    <t>Z.TEST</t>
  </si>
  <si>
    <t>ZTEST</t>
  </si>
  <si>
    <t>ADDRESS</t>
  </si>
  <si>
    <t>AREAS</t>
  </si>
  <si>
    <t>CHOOSE</t>
  </si>
  <si>
    <t>COLUMN</t>
  </si>
  <si>
    <t>COLUMNS</t>
  </si>
  <si>
    <t>HLOOKUP</t>
  </si>
  <si>
    <t>HYPERLINK</t>
  </si>
  <si>
    <t>INDIRECT</t>
  </si>
  <si>
    <t>MATCH</t>
  </si>
  <si>
    <t>OFFSET</t>
  </si>
  <si>
    <t>ROW</t>
  </si>
  <si>
    <t>ROWS</t>
  </si>
  <si>
    <t>TRANSPOSE</t>
  </si>
  <si>
    <t>VLOOKUP</t>
  </si>
  <si>
    <t>DAVERAGE</t>
  </si>
  <si>
    <t>DCOUNT</t>
  </si>
  <si>
    <t>DCOUNTA</t>
  </si>
  <si>
    <t>DGET</t>
  </si>
  <si>
    <t>DMAX</t>
  </si>
  <si>
    <t>DMIN</t>
  </si>
  <si>
    <t>DPRODUCT</t>
  </si>
  <si>
    <t>DSTDEV</t>
  </si>
  <si>
    <t>DSTDEVP</t>
  </si>
  <si>
    <t>DSUM</t>
  </si>
  <si>
    <t>DVAR</t>
  </si>
  <si>
    <t>DVARP</t>
  </si>
  <si>
    <t>GETPIVOTDATA</t>
  </si>
  <si>
    <t>DATE</t>
  </si>
  <si>
    <t>DATEDIF</t>
  </si>
  <si>
    <t>DATEVALUE</t>
  </si>
  <si>
    <t>DAY</t>
  </si>
  <si>
    <t>DAYS360</t>
  </si>
  <si>
    <t>EDATE</t>
  </si>
  <si>
    <t>EOMONTH</t>
  </si>
  <si>
    <t>HOUR</t>
  </si>
  <si>
    <t>MINUTE</t>
  </si>
  <si>
    <t>MONTH</t>
  </si>
  <si>
    <t>NETWORKDAYS</t>
  </si>
  <si>
    <t>NETWORKDAYS.INTL</t>
  </si>
  <si>
    <t>NOW</t>
  </si>
  <si>
    <t>SECOND</t>
  </si>
  <si>
    <t>TIME</t>
  </si>
  <si>
    <t>TIMEVALUE</t>
  </si>
  <si>
    <t>TODAY</t>
  </si>
  <si>
    <t>WEEKDAY</t>
  </si>
  <si>
    <t>WEEKNUM</t>
  </si>
  <si>
    <t>WORKDAY</t>
  </si>
  <si>
    <t>WORKDAY.INTL</t>
  </si>
  <si>
    <t>YEAR</t>
  </si>
  <si>
    <t>YEARFRAC</t>
  </si>
  <si>
    <t>CELL</t>
  </si>
  <si>
    <t>ERROR.TYPE</t>
  </si>
  <si>
    <t>INFO</t>
  </si>
  <si>
    <t>ISBLANK</t>
  </si>
  <si>
    <t>ISERR</t>
  </si>
  <si>
    <t>ISERROR</t>
  </si>
  <si>
    <t>ISEVEN</t>
  </si>
  <si>
    <t>ISLOGICAL</t>
  </si>
  <si>
    <t>ISNA</t>
  </si>
  <si>
    <t>ISNONTEXT</t>
  </si>
  <si>
    <t>ISNUMBER</t>
  </si>
  <si>
    <t>ISODD</t>
  </si>
  <si>
    <t>ISREF</t>
  </si>
  <si>
    <t>ISTEXT</t>
  </si>
  <si>
    <t>N</t>
  </si>
  <si>
    <t>NA</t>
  </si>
  <si>
    <t>TYPE</t>
  </si>
  <si>
    <t>&gt;10</t>
  </si>
  <si>
    <t>&lt;16</t>
  </si>
  <si>
    <t>Database</t>
  </si>
  <si>
    <t>Pivot Table</t>
  </si>
  <si>
    <t>Conditions</t>
  </si>
  <si>
    <t>Data</t>
  </si>
  <si>
    <t>Foo</t>
  </si>
  <si>
    <t>Bar</t>
  </si>
  <si>
    <t>Baz</t>
  </si>
  <si>
    <t>Qux</t>
  </si>
  <si>
    <t>Sna</t>
  </si>
  <si>
    <t>V8</t>
  </si>
  <si>
    <t>SM</t>
  </si>
  <si>
    <t>Nitro</t>
  </si>
  <si>
    <t>V*</t>
  </si>
  <si>
    <t>Column Labels</t>
  </si>
  <si>
    <t>Row Labels</t>
  </si>
  <si>
    <t>Grand Total</t>
  </si>
  <si>
    <t>Sum of Qux</t>
  </si>
  <si>
    <t>8 Total</t>
  </si>
  <si>
    <t>9 Total</t>
  </si>
  <si>
    <t>12 Total</t>
  </si>
  <si>
    <t>13 Total</t>
  </si>
  <si>
    <t>14 Total</t>
  </si>
  <si>
    <t>18 Total</t>
  </si>
  <si>
    <t>D</t>
  </si>
  <si>
    <t>June 9, 1969</t>
  </si>
  <si>
    <t>Core</t>
  </si>
  <si>
    <t>Field Extraction</t>
  </si>
  <si>
    <t>11:23:45 PM</t>
  </si>
  <si>
    <t>Relative</t>
  </si>
  <si>
    <t>ECMA.CEILING</t>
  </si>
  <si>
    <t>address</t>
  </si>
  <si>
    <t>release</t>
  </si>
  <si>
    <t>3</t>
  </si>
  <si>
    <t>A5</t>
  </si>
  <si>
    <t>* FACTDOUBLE moved to Math</t>
  </si>
  <si>
    <t>* not mentioned in summary</t>
  </si>
  <si>
    <t>* originally in engineering</t>
  </si>
  <si>
    <t>INDEX (ref)</t>
  </si>
  <si>
    <t>INDEX (arr)</t>
  </si>
  <si>
    <t>A10</t>
  </si>
  <si>
    <t>NIGGLER</t>
  </si>
  <si>
    <t>LOOKUP (ref)</t>
  </si>
  <si>
    <t>LOOKUP (arr)</t>
  </si>
  <si>
    <t>C14</t>
  </si>
  <si>
    <t>Array Formula</t>
  </si>
  <si>
    <t>Reference Info</t>
  </si>
  <si>
    <t>Lookup</t>
  </si>
  <si>
    <t></t>
  </si>
  <si>
    <t>bar</t>
  </si>
  <si>
    <t>baz</t>
  </si>
  <si>
    <t>qux</t>
  </si>
  <si>
    <t>foo</t>
  </si>
  <si>
    <t>foo bAR BAZ Qux</t>
  </si>
  <si>
    <t>badger</t>
  </si>
  <si>
    <t>ee-mm-dd</t>
  </si>
  <si>
    <t xml:space="preserve">  there are two spaces here  </t>
  </si>
  <si>
    <t>foo bar baz qux</t>
  </si>
  <si>
    <t>a</t>
  </si>
  <si>
    <t>o</t>
  </si>
  <si>
    <t>Extracting Text</t>
  </si>
  <si>
    <t>Searching</t>
  </si>
  <si>
    <t>Formatting</t>
  </si>
  <si>
    <t>Casing</t>
  </si>
  <si>
    <t>Asian Features</t>
  </si>
  <si>
    <t>Codepoints</t>
  </si>
  <si>
    <t>Manipulating Text</t>
  </si>
  <si>
    <t>b</t>
  </si>
  <si>
    <t>foo Bar baz qux</t>
  </si>
  <si>
    <t>12</t>
  </si>
  <si>
    <t>Descriptive Statistics</t>
  </si>
  <si>
    <t>&lt;10</t>
  </si>
  <si>
    <t>&lt;30</t>
  </si>
  <si>
    <t>Distributions</t>
  </si>
  <si>
    <t>RANK(2,{4,6,8,7,5,3,1,2},2)</t>
  </si>
  <si>
    <t>* note that the docs say you can specify an array</t>
  </si>
  <si>
    <t>* but it appears that excel 2011 falters on those</t>
  </si>
  <si>
    <t>Statistical Tests</t>
  </si>
  <si>
    <t>* originally in statistical</t>
  </si>
  <si>
    <t>Regression and Friends</t>
  </si>
  <si>
    <t>LINEST (n+1 by 5)</t>
  </si>
  <si>
    <t>LOGEST (n+1 by 5)</t>
  </si>
  <si>
    <t xml:space="preserve"> FOO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</si>
</sst>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0"/>
      <name val="Calibri"/>
      <scheme val="minor"/>
    </font>
    <font>
      <sz val="13"/>
      <color rgb="FF000000"/>
      <name val="Calibri"/>
      <family val="2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">
    <xf numFmtId="0" fontId="0" fillId="0" borderId="0" xfId="0"/>
    <xf numFmtId="15" fontId="0" fillId="0" borderId="0" xfId="0" applyNumberFormat="1"/>
    <xf numFmtId="10" fontId="0" fillId="0" borderId="0" xfId="0" applyNumberFormat="1"/>
    <xf numFmtId="9" fontId="0" fillId="0" borderId="0" xfId="0" applyNumberFormat="1"/>
    <xf numFmtId="8" fontId="0" fillId="0" borderId="0" xfId="0" applyNumberFormat="1"/>
    <xf numFmtId="14" fontId="0" fillId="0" borderId="0" xfId="0" applyNumberFormat="1"/>
    <xf numFmtId="0" fontId="0" fillId="0" borderId="0" xfId="0" applyNumberFormat="1"/>
    <xf numFmtId="0" fontId="0" fillId="0" borderId="0" xfId="0" quotePrefix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8" fontId="0" fillId="0" borderId="0" xfId="0" applyNumberFormat="1"/>
    <xf numFmtId="22" fontId="0" fillId="0" borderId="0" xfId="0" applyNumberFormat="1"/>
    <xf numFmtId="19" fontId="0" fillId="0" borderId="0" xfId="0" quotePrefix="1" applyNumberFormat="1"/>
    <xf numFmtId="0" fontId="1" fillId="0" borderId="0" xfId="1"/>
    <xf numFmtId="0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1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1393.001978703702" createdVersion="4" refreshedVersion="4" minRefreshableVersion="3" recordCount="6">
  <cacheSource type="worksheet">
    <worksheetSource ref="A24:E30" sheet="Database"/>
  </cacheSource>
  <cacheFields count="5">
    <cacheField name="Foo" numFmtId="0">
      <sharedItems count="4">
        <s v="V8"/>
        <s v="SM"/>
        <s v="Nitro"/>
        <s v="V*"/>
      </sharedItems>
    </cacheField>
    <cacheField name="Bar" numFmtId="0">
      <sharedItems containsSemiMixedTypes="0" containsString="0" containsNumber="1" containsInteger="1" minValue="8" maxValue="18" count="6">
        <n v="18"/>
        <n v="12"/>
        <n v="13"/>
        <n v="14"/>
        <n v="9"/>
        <n v="8"/>
      </sharedItems>
    </cacheField>
    <cacheField name="Baz" numFmtId="0">
      <sharedItems containsSemiMixedTypes="0" containsString="0" containsNumber="1" containsInteger="1" minValue="8" maxValue="20" count="6">
        <n v="20"/>
        <n v="12"/>
        <n v="14"/>
        <n v="15"/>
        <n v="8"/>
        <n v="9"/>
      </sharedItems>
    </cacheField>
    <cacheField name="Qux" numFmtId="0">
      <sharedItems containsSemiMixedTypes="0" containsString="0" containsNumber="1" containsInteger="1" minValue="6" maxValue="14"/>
    </cacheField>
    <cacheField name="Sna" numFmtId="0">
      <sharedItems containsSemiMixedTypes="0" containsString="0" containsNumber="1" minValue="45" maxValue="105" count="5">
        <n v="105"/>
        <n v="96"/>
        <n v="75"/>
        <n v="76.8"/>
        <n v="4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x v="0"/>
    <n v="14"/>
    <x v="0"/>
  </r>
  <r>
    <x v="1"/>
    <x v="1"/>
    <x v="1"/>
    <n v="10"/>
    <x v="1"/>
  </r>
  <r>
    <x v="2"/>
    <x v="2"/>
    <x v="2"/>
    <n v="9"/>
    <x v="0"/>
  </r>
  <r>
    <x v="0"/>
    <x v="3"/>
    <x v="3"/>
    <n v="10"/>
    <x v="2"/>
  </r>
  <r>
    <x v="1"/>
    <x v="4"/>
    <x v="4"/>
    <n v="8"/>
    <x v="3"/>
  </r>
  <r>
    <x v="3"/>
    <x v="5"/>
    <x v="5"/>
    <n v="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GPD" cacheId="1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B32:O45" firstHeaderRow="1" firstDataRow="3" firstDataCol="1"/>
  <pivotFields count="5">
    <pivotField axis="axisRow" showAll="0">
      <items count="5">
        <item x="2"/>
        <item x="1"/>
        <item x="3"/>
        <item x="0"/>
        <item t="default"/>
      </items>
    </pivotField>
    <pivotField axis="axisCol" showAll="0">
      <items count="7">
        <item x="5"/>
        <item x="4"/>
        <item x="1"/>
        <item x="2"/>
        <item x="3"/>
        <item x="0"/>
        <item t="default"/>
      </items>
    </pivotField>
    <pivotField axis="axisRow" showAll="0">
      <items count="7">
        <item x="4"/>
        <item x="5"/>
        <item x="1"/>
        <item x="2"/>
        <item x="3"/>
        <item x="0"/>
        <item t="default"/>
      </items>
    </pivotField>
    <pivotField dataField="1" showAll="0"/>
    <pivotField axis="axisCol" showAll="0">
      <items count="6">
        <item x="4"/>
        <item x="2"/>
        <item x="3"/>
        <item x="1"/>
        <item x="0"/>
        <item t="default"/>
      </items>
    </pivotField>
  </pivotFields>
  <rowFields count="2">
    <field x="0"/>
    <field x="2"/>
  </rowFields>
  <rowItems count="11">
    <i>
      <x/>
    </i>
    <i r="1">
      <x v="3"/>
    </i>
    <i>
      <x v="1"/>
    </i>
    <i r="1">
      <x/>
    </i>
    <i r="1">
      <x v="2"/>
    </i>
    <i>
      <x v="2"/>
    </i>
    <i r="1">
      <x v="1"/>
    </i>
    <i>
      <x v="3"/>
    </i>
    <i r="1">
      <x v="4"/>
    </i>
    <i r="1">
      <x v="5"/>
    </i>
    <i t="grand">
      <x/>
    </i>
  </rowItems>
  <colFields count="2">
    <field x="1"/>
    <field x="4"/>
  </colFields>
  <colItems count="13">
    <i>
      <x/>
      <x/>
    </i>
    <i t="default">
      <x/>
    </i>
    <i>
      <x v="1"/>
      <x v="2"/>
    </i>
    <i t="default">
      <x v="1"/>
    </i>
    <i>
      <x v="2"/>
      <x v="3"/>
    </i>
    <i t="default">
      <x v="2"/>
    </i>
    <i>
      <x v="3"/>
      <x v="4"/>
    </i>
    <i t="default">
      <x v="3"/>
    </i>
    <i>
      <x v="4"/>
      <x v="1"/>
    </i>
    <i t="default">
      <x v="4"/>
    </i>
    <i>
      <x v="5"/>
      <x v="4"/>
    </i>
    <i t="default">
      <x v="5"/>
    </i>
    <i t="grand">
      <x/>
    </i>
  </colItems>
  <dataFields count="1">
    <dataField name="Sum of Qux" fld="3" baseField="0" baseItem="0"/>
  </dataFields>
  <pivotTableStyleInfo name="PivotStyleMedium4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/>
  </sheetViews>
  <sheetFormatPr baseColWidth="10" defaultRowHeight="15" x14ac:dyDescent="0"/>
  <cols>
    <col min="1" max="1" width="14" bestFit="1" customWidth="1"/>
  </cols>
  <sheetData>
    <row r="1" spans="1:4">
      <c r="A1" t="s">
        <v>433</v>
      </c>
    </row>
    <row r="2" spans="1:4">
      <c r="A2" t="s">
        <v>378</v>
      </c>
      <c r="B2">
        <f>DAVERAGE(A24:E30,D2,A19:C21)</f>
        <v>11.666666666666666</v>
      </c>
      <c r="D2">
        <v>3</v>
      </c>
    </row>
    <row r="3" spans="1:4">
      <c r="A3" t="s">
        <v>379</v>
      </c>
      <c r="B3">
        <f>DCOUNT(A24:E30,D2,A19:C21)</f>
        <v>3</v>
      </c>
    </row>
    <row r="4" spans="1:4">
      <c r="A4" t="s">
        <v>380</v>
      </c>
      <c r="B4">
        <f>DCOUNTA(A24:E30,D2,A19:C21)</f>
        <v>3</v>
      </c>
    </row>
    <row r="5" spans="1:4">
      <c r="A5" t="s">
        <v>381</v>
      </c>
      <c r="B5">
        <f>DGET(A24:E30,D2,A19:C20)</f>
        <v>15</v>
      </c>
    </row>
    <row r="6" spans="1:4">
      <c r="A6" t="s">
        <v>382</v>
      </c>
      <c r="B6">
        <f>DMAX(A24:E30,D2,A19:C21)</f>
        <v>15</v>
      </c>
    </row>
    <row r="7" spans="1:4">
      <c r="A7" t="s">
        <v>383</v>
      </c>
      <c r="B7">
        <f>DMIN(A24:E30,D2,A19:C21)</f>
        <v>8</v>
      </c>
    </row>
    <row r="8" spans="1:4">
      <c r="A8" t="s">
        <v>384</v>
      </c>
      <c r="B8">
        <f>DPRODUCT(A24:E30,D2,A19:C21)</f>
        <v>1440</v>
      </c>
    </row>
    <row r="9" spans="1:4">
      <c r="A9" t="s">
        <v>385</v>
      </c>
      <c r="B9">
        <f>DSTDEV(A24:E30,D2,A19:A21)</f>
        <v>5.0579969684978394</v>
      </c>
    </row>
    <row r="10" spans="1:4">
      <c r="A10" t="s">
        <v>386</v>
      </c>
      <c r="B10">
        <f>DSTDEVP(A24:E30,D2,A19:A21)</f>
        <v>4.3803538669838078</v>
      </c>
    </row>
    <row r="11" spans="1:4">
      <c r="A11" t="s">
        <v>387</v>
      </c>
      <c r="B11">
        <f>DSUM(A24:E30,D2,A19:C21)</f>
        <v>35</v>
      </c>
      <c r="D11">
        <f>B11-B2*B3</f>
        <v>0</v>
      </c>
    </row>
    <row r="12" spans="1:4">
      <c r="A12" t="s">
        <v>388</v>
      </c>
      <c r="B12">
        <f>DVAR(A24:E30,D2,A19:C21)</f>
        <v>12.333333333333343</v>
      </c>
    </row>
    <row r="13" spans="1:4">
      <c r="A13" t="s">
        <v>389</v>
      </c>
      <c r="B13">
        <f>DVARP(A24:E30,D2,A19:C21)</f>
        <v>8.2222222222222214</v>
      </c>
    </row>
    <row r="15" spans="1:4">
      <c r="A15" t="s">
        <v>434</v>
      </c>
    </row>
    <row r="16" spans="1:4">
      <c r="A16" t="s">
        <v>390</v>
      </c>
      <c r="B16">
        <f>GETPIVOTDATA("Sum of Qux",B32)</f>
        <v>57</v>
      </c>
    </row>
    <row r="18" spans="1:5">
      <c r="A18" t="s">
        <v>435</v>
      </c>
    </row>
    <row r="19" spans="1:5">
      <c r="A19" t="s">
        <v>437</v>
      </c>
      <c r="B19" t="s">
        <v>438</v>
      </c>
      <c r="C19" t="s">
        <v>438</v>
      </c>
    </row>
    <row r="20" spans="1:5">
      <c r="A20" t="s">
        <v>442</v>
      </c>
      <c r="B20" t="s">
        <v>431</v>
      </c>
      <c r="C20" t="s">
        <v>432</v>
      </c>
    </row>
    <row r="21" spans="1:5">
      <c r="A21" t="s">
        <v>443</v>
      </c>
    </row>
    <row r="23" spans="1:5">
      <c r="A23" t="s">
        <v>436</v>
      </c>
    </row>
    <row r="24" spans="1:5">
      <c r="A24" t="s">
        <v>437</v>
      </c>
      <c r="B24" t="s">
        <v>438</v>
      </c>
      <c r="C24" t="s">
        <v>439</v>
      </c>
      <c r="D24" t="s">
        <v>440</v>
      </c>
      <c r="E24" t="s">
        <v>441</v>
      </c>
    </row>
    <row r="25" spans="1:5">
      <c r="A25" t="s">
        <v>442</v>
      </c>
      <c r="B25">
        <v>18</v>
      </c>
      <c r="C25">
        <v>20</v>
      </c>
      <c r="D25">
        <v>14</v>
      </c>
      <c r="E25">
        <v>105</v>
      </c>
    </row>
    <row r="26" spans="1:5">
      <c r="A26" t="s">
        <v>443</v>
      </c>
      <c r="B26">
        <v>12</v>
      </c>
      <c r="C26">
        <v>12</v>
      </c>
      <c r="D26">
        <v>10</v>
      </c>
      <c r="E26">
        <v>96</v>
      </c>
    </row>
    <row r="27" spans="1:5">
      <c r="A27" t="s">
        <v>444</v>
      </c>
      <c r="B27">
        <v>13</v>
      </c>
      <c r="C27">
        <v>14</v>
      </c>
      <c r="D27">
        <v>9</v>
      </c>
      <c r="E27">
        <v>105</v>
      </c>
    </row>
    <row r="28" spans="1:5">
      <c r="A28" t="s">
        <v>442</v>
      </c>
      <c r="B28">
        <v>14</v>
      </c>
      <c r="C28">
        <v>15</v>
      </c>
      <c r="D28">
        <v>10</v>
      </c>
      <c r="E28">
        <v>75</v>
      </c>
    </row>
    <row r="29" spans="1:5">
      <c r="A29" t="s">
        <v>443</v>
      </c>
      <c r="B29">
        <v>9</v>
      </c>
      <c r="C29">
        <v>8</v>
      </c>
      <c r="D29">
        <v>8</v>
      </c>
      <c r="E29">
        <v>76.8</v>
      </c>
    </row>
    <row r="30" spans="1:5">
      <c r="A30" t="s">
        <v>445</v>
      </c>
      <c r="B30">
        <v>8</v>
      </c>
      <c r="C30">
        <v>9</v>
      </c>
      <c r="D30">
        <v>6</v>
      </c>
      <c r="E30">
        <v>45</v>
      </c>
    </row>
    <row r="32" spans="1:5">
      <c r="B32" s="8" t="s">
        <v>449</v>
      </c>
      <c r="C32" s="8" t="s">
        <v>446</v>
      </c>
    </row>
    <row r="33" spans="2:15">
      <c r="C33">
        <v>8</v>
      </c>
      <c r="D33" t="s">
        <v>450</v>
      </c>
      <c r="E33">
        <v>9</v>
      </c>
      <c r="F33" t="s">
        <v>451</v>
      </c>
      <c r="G33">
        <v>12</v>
      </c>
      <c r="H33" t="s">
        <v>452</v>
      </c>
      <c r="I33">
        <v>13</v>
      </c>
      <c r="J33" t="s">
        <v>453</v>
      </c>
      <c r="K33">
        <v>14</v>
      </c>
      <c r="L33" t="s">
        <v>454</v>
      </c>
      <c r="M33">
        <v>18</v>
      </c>
      <c r="N33" t="s">
        <v>455</v>
      </c>
      <c r="O33" t="s">
        <v>448</v>
      </c>
    </row>
    <row r="34" spans="2:15">
      <c r="B34" s="8" t="s">
        <v>447</v>
      </c>
      <c r="C34">
        <v>45</v>
      </c>
      <c r="E34">
        <v>76.8</v>
      </c>
      <c r="G34">
        <v>96</v>
      </c>
      <c r="I34">
        <v>105</v>
      </c>
      <c r="K34">
        <v>75</v>
      </c>
      <c r="M34">
        <v>105</v>
      </c>
    </row>
    <row r="35" spans="2:15">
      <c r="B35" s="9" t="s">
        <v>444</v>
      </c>
      <c r="C35" s="6"/>
      <c r="D35" s="6"/>
      <c r="E35" s="6"/>
      <c r="F35" s="6"/>
      <c r="G35" s="6"/>
      <c r="H35" s="6"/>
      <c r="I35" s="6">
        <v>9</v>
      </c>
      <c r="J35" s="6">
        <v>9</v>
      </c>
      <c r="K35" s="6"/>
      <c r="L35" s="6"/>
      <c r="M35" s="6"/>
      <c r="N35" s="6"/>
      <c r="O35" s="6">
        <v>9</v>
      </c>
    </row>
    <row r="36" spans="2:15">
      <c r="B36" s="10">
        <v>14</v>
      </c>
      <c r="C36" s="6"/>
      <c r="D36" s="6"/>
      <c r="E36" s="6"/>
      <c r="F36" s="6"/>
      <c r="G36" s="6"/>
      <c r="H36" s="6"/>
      <c r="I36" s="6">
        <v>9</v>
      </c>
      <c r="J36" s="6">
        <v>9</v>
      </c>
      <c r="K36" s="6"/>
      <c r="L36" s="6"/>
      <c r="M36" s="6"/>
      <c r="N36" s="6"/>
      <c r="O36" s="6">
        <v>9</v>
      </c>
    </row>
    <row r="37" spans="2:15">
      <c r="B37" s="9" t="s">
        <v>443</v>
      </c>
      <c r="C37" s="6"/>
      <c r="D37" s="6"/>
      <c r="E37" s="6">
        <v>8</v>
      </c>
      <c r="F37" s="6">
        <v>8</v>
      </c>
      <c r="G37" s="6">
        <v>10</v>
      </c>
      <c r="H37" s="6">
        <v>10</v>
      </c>
      <c r="I37" s="6"/>
      <c r="J37" s="6"/>
      <c r="K37" s="6"/>
      <c r="L37" s="6"/>
      <c r="M37" s="6"/>
      <c r="N37" s="6"/>
      <c r="O37" s="6">
        <v>18</v>
      </c>
    </row>
    <row r="38" spans="2:15">
      <c r="B38" s="10">
        <v>8</v>
      </c>
      <c r="C38" s="6"/>
      <c r="D38" s="6"/>
      <c r="E38" s="6">
        <v>8</v>
      </c>
      <c r="F38" s="6">
        <v>8</v>
      </c>
      <c r="G38" s="6"/>
      <c r="H38" s="6"/>
      <c r="I38" s="6"/>
      <c r="J38" s="6"/>
      <c r="K38" s="6"/>
      <c r="L38" s="6"/>
      <c r="M38" s="6"/>
      <c r="N38" s="6"/>
      <c r="O38" s="6">
        <v>8</v>
      </c>
    </row>
    <row r="39" spans="2:15">
      <c r="B39" s="10">
        <v>12</v>
      </c>
      <c r="C39" s="6"/>
      <c r="D39" s="6"/>
      <c r="E39" s="6"/>
      <c r="F39" s="6"/>
      <c r="G39" s="6">
        <v>10</v>
      </c>
      <c r="H39" s="6">
        <v>10</v>
      </c>
      <c r="I39" s="6"/>
      <c r="J39" s="6"/>
      <c r="K39" s="6"/>
      <c r="L39" s="6"/>
      <c r="M39" s="6"/>
      <c r="N39" s="6"/>
      <c r="O39" s="6">
        <v>10</v>
      </c>
    </row>
    <row r="40" spans="2:15">
      <c r="B40" s="9" t="s">
        <v>445</v>
      </c>
      <c r="C40" s="6">
        <v>6</v>
      </c>
      <c r="D40" s="6">
        <v>6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>
        <v>6</v>
      </c>
    </row>
    <row r="41" spans="2:15">
      <c r="B41" s="10">
        <v>9</v>
      </c>
      <c r="C41" s="6">
        <v>6</v>
      </c>
      <c r="D41" s="6">
        <v>6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>
        <v>6</v>
      </c>
    </row>
    <row r="42" spans="2:15">
      <c r="B42" s="9" t="s">
        <v>442</v>
      </c>
      <c r="C42" s="6"/>
      <c r="D42" s="6"/>
      <c r="E42" s="6"/>
      <c r="F42" s="6"/>
      <c r="G42" s="6"/>
      <c r="H42" s="6"/>
      <c r="I42" s="6"/>
      <c r="J42" s="6"/>
      <c r="K42" s="6">
        <v>10</v>
      </c>
      <c r="L42" s="6">
        <v>10</v>
      </c>
      <c r="M42" s="6">
        <v>14</v>
      </c>
      <c r="N42" s="6">
        <v>14</v>
      </c>
      <c r="O42" s="6">
        <v>24</v>
      </c>
    </row>
    <row r="43" spans="2:15">
      <c r="B43" s="10">
        <v>15</v>
      </c>
      <c r="C43" s="6"/>
      <c r="D43" s="6"/>
      <c r="E43" s="6"/>
      <c r="F43" s="6"/>
      <c r="G43" s="6"/>
      <c r="H43" s="6"/>
      <c r="I43" s="6"/>
      <c r="J43" s="6"/>
      <c r="K43" s="6">
        <v>10</v>
      </c>
      <c r="L43" s="6">
        <v>10</v>
      </c>
      <c r="M43" s="6"/>
      <c r="N43" s="6"/>
      <c r="O43" s="6">
        <v>10</v>
      </c>
    </row>
    <row r="44" spans="2:15">
      <c r="B44" s="10">
        <v>20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>
        <v>14</v>
      </c>
      <c r="N44" s="6">
        <v>14</v>
      </c>
      <c r="O44" s="6">
        <v>14</v>
      </c>
    </row>
    <row r="45" spans="2:15">
      <c r="B45" s="9" t="s">
        <v>448</v>
      </c>
      <c r="C45" s="6">
        <v>6</v>
      </c>
      <c r="D45" s="6">
        <v>6</v>
      </c>
      <c r="E45" s="6">
        <v>8</v>
      </c>
      <c r="F45" s="6">
        <v>8</v>
      </c>
      <c r="G45" s="6">
        <v>10</v>
      </c>
      <c r="H45" s="6">
        <v>10</v>
      </c>
      <c r="I45" s="6">
        <v>9</v>
      </c>
      <c r="J45" s="6">
        <v>9</v>
      </c>
      <c r="K45" s="6">
        <v>10</v>
      </c>
      <c r="L45" s="6">
        <v>10</v>
      </c>
      <c r="M45" s="6">
        <v>14</v>
      </c>
      <c r="N45" s="6">
        <v>14</v>
      </c>
      <c r="O45" s="6">
        <v>57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F40" sqref="F40"/>
    </sheetView>
  </sheetViews>
  <sheetFormatPr baseColWidth="10" defaultRowHeight="15" x14ac:dyDescent="0"/>
  <sheetData>
    <row r="1" spans="1:6">
      <c r="A1" t="s">
        <v>192</v>
      </c>
    </row>
    <row r="2" spans="1:6">
      <c r="A2" t="s">
        <v>198</v>
      </c>
      <c r="B2" t="str">
        <f>CONCATENATE(C2,D2,E2,F2)</f>
        <v>Foobarbazqux</v>
      </c>
      <c r="C2" t="s">
        <v>437</v>
      </c>
      <c r="D2" t="s">
        <v>481</v>
      </c>
      <c r="E2" t="s">
        <v>482</v>
      </c>
      <c r="F2" t="s">
        <v>483</v>
      </c>
    </row>
    <row r="3" spans="1:6">
      <c r="A3" t="s">
        <v>200</v>
      </c>
      <c r="B3" t="b">
        <f>EXACT(C3,D3)</f>
        <v>0</v>
      </c>
      <c r="C3" t="s">
        <v>484</v>
      </c>
      <c r="D3" t="s">
        <v>437</v>
      </c>
    </row>
    <row r="4" spans="1:6">
      <c r="A4" t="s">
        <v>207</v>
      </c>
      <c r="B4">
        <f>LEN(C4)</f>
        <v>15</v>
      </c>
      <c r="C4" t="s">
        <v>489</v>
      </c>
    </row>
    <row r="5" spans="1:6">
      <c r="A5" t="s">
        <v>208</v>
      </c>
      <c r="B5">
        <f>LENB(C4)</f>
        <v>15</v>
      </c>
    </row>
    <row r="7" spans="1:6">
      <c r="A7" t="s">
        <v>495</v>
      </c>
    </row>
    <row r="8" spans="1:6">
      <c r="A8" t="s">
        <v>209</v>
      </c>
      <c r="B8" t="str">
        <f>LOWER(C8)</f>
        <v>foo bar baz qux</v>
      </c>
      <c r="C8" t="s">
        <v>485</v>
      </c>
    </row>
    <row r="9" spans="1:6">
      <c r="A9" t="s">
        <v>213</v>
      </c>
      <c r="B9" t="str">
        <f>PROPER(C9)</f>
        <v>Foo Bar Baz Qux</v>
      </c>
      <c r="C9" t="s">
        <v>485</v>
      </c>
    </row>
    <row r="10" spans="1:6">
      <c r="A10" t="s">
        <v>225</v>
      </c>
      <c r="B10" t="str">
        <f>UPPER(C10)</f>
        <v>FOO BAR BAZ QUX</v>
      </c>
      <c r="C10" t="s">
        <v>485</v>
      </c>
    </row>
    <row r="12" spans="1:6">
      <c r="A12" t="s">
        <v>494</v>
      </c>
    </row>
    <row r="13" spans="1:6">
      <c r="A13" t="s">
        <v>199</v>
      </c>
      <c r="B13" t="str">
        <f>DOLLAR(C13)</f>
        <v>$4.57</v>
      </c>
      <c r="C13">
        <v>4.5670000000000002</v>
      </c>
    </row>
    <row r="14" spans="1:6">
      <c r="A14" t="s">
        <v>203</v>
      </c>
      <c r="B14" t="str">
        <f>FIXED(C14,5)</f>
        <v>0.12346</v>
      </c>
      <c r="C14">
        <v>0.12345679</v>
      </c>
    </row>
    <row r="15" spans="1:6">
      <c r="A15" t="s">
        <v>223</v>
      </c>
      <c r="B15" t="str">
        <f>TEXT(C15,D15)</f>
        <v>1977-07-07</v>
      </c>
      <c r="C15" s="5">
        <v>28313</v>
      </c>
      <c r="D15" t="s">
        <v>487</v>
      </c>
    </row>
    <row r="16" spans="1:6">
      <c r="A16" t="s">
        <v>222</v>
      </c>
      <c r="B16" t="str">
        <f>T(C16)</f>
        <v/>
      </c>
      <c r="C16" t="b">
        <v>0</v>
      </c>
    </row>
    <row r="17" spans="1:5">
      <c r="A17" t="s">
        <v>226</v>
      </c>
      <c r="B17">
        <f>VALUE(C17)</f>
        <v>12</v>
      </c>
      <c r="C17" s="7" t="s">
        <v>501</v>
      </c>
    </row>
    <row r="19" spans="1:5">
      <c r="A19" t="s">
        <v>497</v>
      </c>
    </row>
    <row r="20" spans="1:5">
      <c r="A20" t="s">
        <v>195</v>
      </c>
      <c r="B20" t="str">
        <f>CHAR(C20)</f>
        <v></v>
      </c>
      <c r="C20">
        <v>240</v>
      </c>
    </row>
    <row r="21" spans="1:5" ht="16">
      <c r="A21" t="s">
        <v>197</v>
      </c>
      <c r="B21">
        <f>CODE(C21)</f>
        <v>240</v>
      </c>
      <c r="C21" s="16" t="s">
        <v>480</v>
      </c>
    </row>
    <row r="22" spans="1:5" ht="16">
      <c r="C22" s="16"/>
    </row>
    <row r="23" spans="1:5" ht="16">
      <c r="A23" t="s">
        <v>492</v>
      </c>
      <c r="C23" s="16"/>
    </row>
    <row r="24" spans="1:5">
      <c r="A24" t="s">
        <v>205</v>
      </c>
      <c r="B24" t="str">
        <f>LEFT(C24,D24)</f>
        <v>foo</v>
      </c>
      <c r="C24" t="s">
        <v>489</v>
      </c>
      <c r="D24">
        <v>3</v>
      </c>
    </row>
    <row r="25" spans="1:5">
      <c r="A25" t="s">
        <v>206</v>
      </c>
      <c r="B25" t="str">
        <f>LEFTB(C24,D24)</f>
        <v>foo</v>
      </c>
    </row>
    <row r="26" spans="1:5">
      <c r="A26" t="s">
        <v>210</v>
      </c>
      <c r="B26" t="str">
        <f>MID(C26,D26,E26)</f>
        <v>bar</v>
      </c>
      <c r="C26" t="s">
        <v>489</v>
      </c>
      <c r="D26">
        <v>5</v>
      </c>
      <c r="E26">
        <v>3</v>
      </c>
    </row>
    <row r="27" spans="1:5">
      <c r="A27" t="s">
        <v>211</v>
      </c>
      <c r="B27" t="str">
        <f>MIDB(C27,D27,E27)</f>
        <v>baz</v>
      </c>
      <c r="C27" t="s">
        <v>489</v>
      </c>
      <c r="D27">
        <v>9</v>
      </c>
      <c r="E27">
        <v>3</v>
      </c>
    </row>
    <row r="28" spans="1:5">
      <c r="A28" t="s">
        <v>217</v>
      </c>
      <c r="B28" t="str">
        <f>RIGHT(C24,D24)</f>
        <v>qux</v>
      </c>
    </row>
    <row r="29" spans="1:5">
      <c r="A29" t="s">
        <v>218</v>
      </c>
      <c r="B29" t="str">
        <f>RIGHT(C24,D24)</f>
        <v>qux</v>
      </c>
    </row>
    <row r="30" spans="1:5" ht="16">
      <c r="C30" s="16"/>
    </row>
    <row r="31" spans="1:5" ht="16">
      <c r="A31" t="s">
        <v>493</v>
      </c>
      <c r="C31" s="16"/>
    </row>
    <row r="32" spans="1:5">
      <c r="A32" t="s">
        <v>201</v>
      </c>
      <c r="B32">
        <f>FIND(C32,D32)</f>
        <v>9</v>
      </c>
      <c r="C32" t="s">
        <v>499</v>
      </c>
      <c r="D32" t="s">
        <v>500</v>
      </c>
    </row>
    <row r="33" spans="1:6">
      <c r="A33" t="s">
        <v>202</v>
      </c>
      <c r="B33">
        <f>FINDB(C32,D32)</f>
        <v>9</v>
      </c>
    </row>
    <row r="34" spans="1:6">
      <c r="A34" t="s">
        <v>219</v>
      </c>
      <c r="B34">
        <f>SEARCH(C32,D32)</f>
        <v>5</v>
      </c>
    </row>
    <row r="35" spans="1:6">
      <c r="A35" t="s">
        <v>220</v>
      </c>
      <c r="B35">
        <f>SEARCHB(C32,D32)</f>
        <v>5</v>
      </c>
    </row>
    <row r="37" spans="1:6">
      <c r="A37" t="s">
        <v>498</v>
      </c>
      <c r="B37" t="str">
        <f>REPT("badger ",12)&amp;REPT("MUSHROOM! ",2)</f>
        <v xml:space="preserve">badger badger badger badger badger badger badger badger badger badger badger badger MUSHROOM! MUSHROOM! </v>
      </c>
    </row>
    <row r="38" spans="1:6">
      <c r="A38" t="s">
        <v>196</v>
      </c>
      <c r="B38" t="str">
        <f>CLEAN(C38)</f>
        <v>7</v>
      </c>
      <c r="C38" t="str">
        <f>CHAR(7)&amp;"7"&amp;CHAR(7)</f>
        <v>_x0007_7_x0007_</v>
      </c>
    </row>
    <row r="39" spans="1:6">
      <c r="A39" t="s">
        <v>216</v>
      </c>
      <c r="B39" t="str">
        <f>REPT(C39,D39)</f>
        <v>badgerbadgerbadger</v>
      </c>
      <c r="C39" t="s">
        <v>486</v>
      </c>
      <c r="D39">
        <v>3</v>
      </c>
    </row>
    <row r="40" spans="1:6">
      <c r="A40" t="s">
        <v>214</v>
      </c>
      <c r="B40" t="str">
        <f>REPLACE(C40,D40,E40,F40)</f>
        <v>foo FOO baz qux</v>
      </c>
      <c r="C40" t="s">
        <v>489</v>
      </c>
      <c r="D40">
        <v>4</v>
      </c>
      <c r="E40">
        <v>4</v>
      </c>
      <c r="F40" s="7" t="s">
        <v>514</v>
      </c>
    </row>
    <row r="41" spans="1:6">
      <c r="A41" t="s">
        <v>215</v>
      </c>
      <c r="B41" t="str">
        <f>REPLACEB(C40,D40,E40,F40)</f>
        <v>foo FOO baz qux</v>
      </c>
    </row>
    <row r="42" spans="1:6">
      <c r="A42" t="s">
        <v>221</v>
      </c>
      <c r="B42" t="str">
        <f>SUBSTITUTE(C42,D42,E42,F42)</f>
        <v>foo bor baz qux</v>
      </c>
      <c r="C42" t="s">
        <v>489</v>
      </c>
      <c r="D42" t="s">
        <v>490</v>
      </c>
      <c r="E42" t="s">
        <v>491</v>
      </c>
      <c r="F42">
        <v>1</v>
      </c>
    </row>
    <row r="43" spans="1:6">
      <c r="A43" t="s">
        <v>224</v>
      </c>
      <c r="B43" t="str">
        <f>TRIM(C43)</f>
        <v>there are two spaces here</v>
      </c>
      <c r="C43" s="7" t="s">
        <v>488</v>
      </c>
    </row>
    <row r="45" spans="1:6">
      <c r="A45" t="s">
        <v>496</v>
      </c>
    </row>
    <row r="46" spans="1:6">
      <c r="A46" t="s">
        <v>194</v>
      </c>
      <c r="B46" t="str">
        <f>ASC(C46)</f>
        <v/>
      </c>
    </row>
    <row r="47" spans="1:6">
      <c r="A47" t="s">
        <v>212</v>
      </c>
      <c r="B47" t="e">
        <f>PHONETIC(C47)</f>
        <v>#N/A</v>
      </c>
      <c r="C47" t="s">
        <v>489</v>
      </c>
    </row>
    <row r="48" spans="1:6">
      <c r="A48" t="s">
        <v>204</v>
      </c>
      <c r="B48" t="e">
        <f ca="1">JIS(C48)</f>
        <v>#NAME?</v>
      </c>
    </row>
    <row r="49" spans="1:3">
      <c r="A49" t="s">
        <v>227</v>
      </c>
      <c r="B49" t="e">
        <f ca="1">YEN(C49)</f>
        <v>#NAME?</v>
      </c>
      <c r="C49">
        <v>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/>
  </sheetViews>
  <sheetFormatPr baseColWidth="10" defaultRowHeight="15" x14ac:dyDescent="0"/>
  <cols>
    <col min="2" max="2" width="12.83203125" bestFit="1" customWidth="1"/>
    <col min="3" max="3" width="11.6640625" bestFit="1" customWidth="1"/>
  </cols>
  <sheetData>
    <row r="1" spans="1:5">
      <c r="A1" t="s">
        <v>458</v>
      </c>
    </row>
    <row r="2" spans="1:5">
      <c r="A2" t="s">
        <v>391</v>
      </c>
      <c r="B2" s="5">
        <f>DATE(C2,D2,E2)</f>
        <v>41434</v>
      </c>
      <c r="C2">
        <v>2013</v>
      </c>
      <c r="D2">
        <v>6</v>
      </c>
      <c r="E2">
        <v>9</v>
      </c>
    </row>
    <row r="3" spans="1:5">
      <c r="A3" t="s">
        <v>393</v>
      </c>
      <c r="B3">
        <f>DATEVALUE(C3)</f>
        <v>25363</v>
      </c>
      <c r="C3" s="7" t="s">
        <v>457</v>
      </c>
    </row>
    <row r="4" spans="1:5">
      <c r="A4" t="s">
        <v>405</v>
      </c>
      <c r="B4" s="11">
        <f>TIME(C4,D4,E4)</f>
        <v>0.2565162037037037</v>
      </c>
      <c r="C4">
        <v>6</v>
      </c>
      <c r="D4">
        <v>9</v>
      </c>
      <c r="E4">
        <v>23</v>
      </c>
    </row>
    <row r="5" spans="1:5">
      <c r="A5" t="s">
        <v>406</v>
      </c>
      <c r="B5">
        <f>TIMEVALUE(C5)</f>
        <v>0.97482638888888884</v>
      </c>
      <c r="C5" s="13" t="s">
        <v>460</v>
      </c>
    </row>
    <row r="6" spans="1:5">
      <c r="A6" t="s">
        <v>403</v>
      </c>
      <c r="B6" s="12">
        <f ca="1">NOW()</f>
        <v>41399.879184143516</v>
      </c>
    </row>
    <row r="7" spans="1:5">
      <c r="A7" t="s">
        <v>407</v>
      </c>
      <c r="B7" s="5">
        <f ca="1">TODAY()</f>
        <v>41399</v>
      </c>
    </row>
    <row r="8" spans="1:5">
      <c r="B8" s="11"/>
    </row>
    <row r="9" spans="1:5">
      <c r="A9" t="s">
        <v>459</v>
      </c>
      <c r="B9" s="11"/>
    </row>
    <row r="10" spans="1:5">
      <c r="A10" t="s">
        <v>412</v>
      </c>
      <c r="B10">
        <f>YEAR(B2)</f>
        <v>2013</v>
      </c>
    </row>
    <row r="11" spans="1:5">
      <c r="A11" t="s">
        <v>400</v>
      </c>
      <c r="B11">
        <f>MONTH(B2)</f>
        <v>6</v>
      </c>
    </row>
    <row r="12" spans="1:5">
      <c r="A12" t="s">
        <v>394</v>
      </c>
      <c r="B12">
        <f>DAY(B2)</f>
        <v>9</v>
      </c>
    </row>
    <row r="13" spans="1:5">
      <c r="A13" t="s">
        <v>398</v>
      </c>
      <c r="B13">
        <f>HOUR(B4)</f>
        <v>6</v>
      </c>
    </row>
    <row r="14" spans="1:5">
      <c r="A14" t="s">
        <v>399</v>
      </c>
      <c r="B14">
        <f>MINUTE(B4)</f>
        <v>9</v>
      </c>
    </row>
    <row r="15" spans="1:5">
      <c r="A15" t="s">
        <v>404</v>
      </c>
      <c r="B15">
        <f>SECOND(B4)</f>
        <v>23</v>
      </c>
    </row>
    <row r="16" spans="1:5">
      <c r="A16" t="s">
        <v>408</v>
      </c>
      <c r="B16">
        <f>WEEKDAY(B2)</f>
        <v>1</v>
      </c>
    </row>
    <row r="17" spans="1:5">
      <c r="A17" t="s">
        <v>409</v>
      </c>
      <c r="B17">
        <f>WEEKNUM(B2)</f>
        <v>24</v>
      </c>
    </row>
    <row r="19" spans="1:5">
      <c r="A19" t="s">
        <v>461</v>
      </c>
    </row>
    <row r="20" spans="1:5">
      <c r="A20" t="s">
        <v>392</v>
      </c>
      <c r="B20">
        <f>DATEDIF(C20,D20,E20)</f>
        <v>395</v>
      </c>
      <c r="C20" s="5">
        <f>B2</f>
        <v>41434</v>
      </c>
      <c r="D20" s="5">
        <v>41829</v>
      </c>
      <c r="E20" t="s">
        <v>456</v>
      </c>
    </row>
    <row r="21" spans="1:5">
      <c r="A21" t="s">
        <v>395</v>
      </c>
      <c r="B21">
        <f>DAYS360(C20,D20)</f>
        <v>390</v>
      </c>
    </row>
    <row r="22" spans="1:5">
      <c r="A22" t="s">
        <v>396</v>
      </c>
      <c r="B22">
        <f>EDATE(B2,C22)</f>
        <v>41526</v>
      </c>
      <c r="C22">
        <v>3</v>
      </c>
    </row>
    <row r="23" spans="1:5">
      <c r="A23" t="s">
        <v>397</v>
      </c>
      <c r="B23">
        <f>EOMONTH(B2,C23)</f>
        <v>41547</v>
      </c>
      <c r="C23">
        <v>3</v>
      </c>
    </row>
    <row r="24" spans="1:5">
      <c r="A24" t="s">
        <v>401</v>
      </c>
      <c r="B24">
        <f>NETWORKDAYS(C20,D20)</f>
        <v>283</v>
      </c>
    </row>
    <row r="25" spans="1:5">
      <c r="A25" t="s">
        <v>402</v>
      </c>
      <c r="B25">
        <f>NETWORKDAYS.INTL(C20,D20,C25)</f>
        <v>340</v>
      </c>
      <c r="C25">
        <v>17</v>
      </c>
    </row>
    <row r="26" spans="1:5">
      <c r="A26" t="s">
        <v>410</v>
      </c>
      <c r="B26">
        <f>WORKDAY(C20,C26)</f>
        <v>41605</v>
      </c>
      <c r="C26">
        <v>123</v>
      </c>
    </row>
    <row r="27" spans="1:5">
      <c r="A27" t="s">
        <v>411</v>
      </c>
      <c r="B27">
        <f>WORKDAY.INTL(C20,123,17)</f>
        <v>41577</v>
      </c>
    </row>
    <row r="28" spans="1:5">
      <c r="A28" t="s">
        <v>413</v>
      </c>
      <c r="B28">
        <f>YEARFRAC(C20,D20)</f>
        <v>1.0833333333333333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workbookViewId="0"/>
  </sheetViews>
  <sheetFormatPr baseColWidth="10" defaultRowHeight="15" x14ac:dyDescent="0"/>
  <sheetData>
    <row r="1" spans="1:5">
      <c r="A1" t="s">
        <v>178</v>
      </c>
      <c r="C1" t="s">
        <v>467</v>
      </c>
    </row>
    <row r="2" spans="1:5">
      <c r="A2" t="s">
        <v>137</v>
      </c>
      <c r="B2">
        <f>BESSELI(C2,D2)</f>
        <v>0.21273995970273565</v>
      </c>
      <c r="C2">
        <v>2</v>
      </c>
      <c r="D2">
        <v>3</v>
      </c>
      <c r="E2" t="e">
        <f>BESSELI(-1,-1)</f>
        <v>#NUM!</v>
      </c>
    </row>
    <row r="3" spans="1:5">
      <c r="A3" t="s">
        <v>138</v>
      </c>
      <c r="B3">
        <f>BESSELJ(C3,D3)</f>
        <v>0.12894324997562717</v>
      </c>
      <c r="C3">
        <v>2</v>
      </c>
      <c r="D3">
        <v>3</v>
      </c>
    </row>
    <row r="4" spans="1:5">
      <c r="A4" t="s">
        <v>139</v>
      </c>
      <c r="B4">
        <f>BESSELK(C4,D4)</f>
        <v>0.6473854</v>
      </c>
      <c r="C4">
        <v>2</v>
      </c>
      <c r="D4">
        <v>3</v>
      </c>
    </row>
    <row r="5" spans="1:5">
      <c r="A5" t="s">
        <v>140</v>
      </c>
      <c r="B5">
        <f>BESSELY(C5,D5)</f>
        <v>-1.1277837651220644</v>
      </c>
      <c r="C5">
        <v>2</v>
      </c>
      <c r="D5">
        <v>3</v>
      </c>
    </row>
    <row r="7" spans="1:5">
      <c r="A7" t="s">
        <v>181</v>
      </c>
    </row>
    <row r="8" spans="1:5">
      <c r="A8" t="s">
        <v>150</v>
      </c>
      <c r="B8">
        <f>BESSELI(C8,D8)</f>
        <v>1</v>
      </c>
    </row>
    <row r="9" spans="1:5">
      <c r="A9" t="s">
        <v>151</v>
      </c>
      <c r="B9">
        <f>BESSELI(C9,D9)</f>
        <v>1</v>
      </c>
    </row>
    <row r="10" spans="1:5">
      <c r="A10" t="s">
        <v>152</v>
      </c>
      <c r="B10">
        <f>BESSELI(C10,D10)</f>
        <v>1</v>
      </c>
    </row>
    <row r="11" spans="1:5">
      <c r="A11" t="s">
        <v>153</v>
      </c>
      <c r="B11">
        <f>BESSELI(C11,D11)</f>
        <v>1</v>
      </c>
    </row>
    <row r="13" spans="1:5">
      <c r="A13" t="s">
        <v>121</v>
      </c>
    </row>
    <row r="14" spans="1:5">
      <c r="A14" t="s">
        <v>145</v>
      </c>
      <c r="B14">
        <f>CONVERT(C14,D14,E14)</f>
        <v>-273.14999999999998</v>
      </c>
      <c r="C14">
        <v>0</v>
      </c>
      <c r="D14" t="s">
        <v>182</v>
      </c>
      <c r="E14" t="s">
        <v>183</v>
      </c>
    </row>
    <row r="15" spans="1:5">
      <c r="A15" t="s">
        <v>141</v>
      </c>
      <c r="B15">
        <f>BIN2DEC(10)</f>
        <v>2</v>
      </c>
    </row>
    <row r="16" spans="1:5">
      <c r="A16" t="s">
        <v>142</v>
      </c>
      <c r="B16" t="str">
        <f>BIN2HEX(10)</f>
        <v>2</v>
      </c>
    </row>
    <row r="17" spans="1:2">
      <c r="A17" t="s">
        <v>143</v>
      </c>
      <c r="B17" t="str">
        <f>BIN2OCT(10)</f>
        <v>2</v>
      </c>
    </row>
    <row r="18" spans="1:2">
      <c r="A18" t="s">
        <v>146</v>
      </c>
      <c r="B18" t="str">
        <f>DEC2BIN(10)</f>
        <v>1010</v>
      </c>
    </row>
    <row r="19" spans="1:2">
      <c r="A19" t="s">
        <v>147</v>
      </c>
      <c r="B19" t="str">
        <f>DEC2HEX(10)</f>
        <v>A</v>
      </c>
    </row>
    <row r="20" spans="1:2">
      <c r="A20" t="s">
        <v>148</v>
      </c>
      <c r="B20" t="str">
        <f>DEC2OCT(10)</f>
        <v>12</v>
      </c>
    </row>
    <row r="21" spans="1:2">
      <c r="A21" t="s">
        <v>175</v>
      </c>
      <c r="B21" t="str">
        <f>OCT2BIN(10)</f>
        <v>1000</v>
      </c>
    </row>
    <row r="22" spans="1:2">
      <c r="A22" t="s">
        <v>176</v>
      </c>
      <c r="B22">
        <f>OCT2DEC(10)</f>
        <v>8</v>
      </c>
    </row>
    <row r="23" spans="1:2">
      <c r="A23" t="s">
        <v>177</v>
      </c>
      <c r="B23" t="str">
        <f>OCT2HEX(10)</f>
        <v>8</v>
      </c>
    </row>
    <row r="24" spans="1:2">
      <c r="A24" t="s">
        <v>155</v>
      </c>
      <c r="B24" t="str">
        <f>HEX2BIN(10)</f>
        <v>10000</v>
      </c>
    </row>
    <row r="25" spans="1:2">
      <c r="A25" t="s">
        <v>156</v>
      </c>
      <c r="B25">
        <f>HEX2DEC(10)</f>
        <v>16</v>
      </c>
    </row>
    <row r="26" spans="1:2">
      <c r="A26" t="s">
        <v>157</v>
      </c>
      <c r="B26" t="str">
        <f>HEX2OCT(10)</f>
        <v>20</v>
      </c>
    </row>
    <row r="28" spans="1:2">
      <c r="A28" t="s">
        <v>180</v>
      </c>
    </row>
    <row r="29" spans="1:2">
      <c r="A29" t="s">
        <v>149</v>
      </c>
      <c r="B29">
        <f>DELTA(5)</f>
        <v>0</v>
      </c>
    </row>
    <row r="30" spans="1:2">
      <c r="A30" t="s">
        <v>154</v>
      </c>
      <c r="B30">
        <f>GESTEP(5)</f>
        <v>1</v>
      </c>
    </row>
    <row r="32" spans="1:2">
      <c r="A32" t="s">
        <v>179</v>
      </c>
    </row>
    <row r="33" spans="1:4">
      <c r="A33" t="s">
        <v>144</v>
      </c>
      <c r="B33" t="str">
        <f>COMPLEX(2,3)</f>
        <v>2+3i</v>
      </c>
      <c r="C33" t="str">
        <f t="shared" ref="C33:C50" si="0">COMPLEX(2,3,"j")</f>
        <v>2+3j</v>
      </c>
    </row>
    <row r="34" spans="1:4">
      <c r="A34" t="s">
        <v>158</v>
      </c>
      <c r="B34">
        <f>IMABS(C34)</f>
        <v>3.6055512754639896</v>
      </c>
      <c r="C34" t="str">
        <f t="shared" si="0"/>
        <v>2+3j</v>
      </c>
    </row>
    <row r="35" spans="1:4">
      <c r="A35" t="s">
        <v>159</v>
      </c>
      <c r="B35">
        <f>IMAGINARY(C35)</f>
        <v>3</v>
      </c>
      <c r="C35" t="str">
        <f t="shared" si="0"/>
        <v>2+3j</v>
      </c>
    </row>
    <row r="36" spans="1:4">
      <c r="A36" t="s">
        <v>160</v>
      </c>
      <c r="B36">
        <f>IMARGUMENT(C36)</f>
        <v>0.98279372324732905</v>
      </c>
      <c r="C36" t="str">
        <f t="shared" si="0"/>
        <v>2+3j</v>
      </c>
    </row>
    <row r="37" spans="1:4">
      <c r="A37" t="s">
        <v>161</v>
      </c>
      <c r="B37" t="str">
        <f>IMCONJUGATE(C37)</f>
        <v>2-3j</v>
      </c>
      <c r="C37" t="str">
        <f t="shared" si="0"/>
        <v>2+3j</v>
      </c>
    </row>
    <row r="38" spans="1:4">
      <c r="A38" t="s">
        <v>162</v>
      </c>
      <c r="B38" t="str">
        <f>IMCOS(C38)</f>
        <v>-4.18962569096881-9.10922789375534j</v>
      </c>
      <c r="C38" t="str">
        <f t="shared" si="0"/>
        <v>2+3j</v>
      </c>
    </row>
    <row r="39" spans="1:4">
      <c r="A39" t="s">
        <v>163</v>
      </c>
      <c r="B39" t="str">
        <f>IMDIV(B43,B42)</f>
        <v>3.32192809488737-8.28846662730513E-15j</v>
      </c>
      <c r="C39" t="str">
        <f t="shared" si="0"/>
        <v>2+3j</v>
      </c>
    </row>
    <row r="40" spans="1:4">
      <c r="A40" t="s">
        <v>164</v>
      </c>
      <c r="B40" t="str">
        <f>IMEXP(C40)</f>
        <v>-7.3151100949011+1.0427436562359j</v>
      </c>
      <c r="C40" t="str">
        <f t="shared" si="0"/>
        <v>2+3j</v>
      </c>
    </row>
    <row r="41" spans="1:4">
      <c r="A41" t="s">
        <v>165</v>
      </c>
      <c r="B41" t="str">
        <f>IMLN(C41)</f>
        <v>1.28247467873077+0.982793723247329j</v>
      </c>
      <c r="C41" t="str">
        <f t="shared" si="0"/>
        <v>2+3j</v>
      </c>
    </row>
    <row r="42" spans="1:4">
      <c r="A42" t="s">
        <v>166</v>
      </c>
      <c r="B42" t="str">
        <f>IMLOG10(C42)</f>
        <v>0.556971676153418+0.426821890855467j</v>
      </c>
      <c r="C42" t="str">
        <f t="shared" si="0"/>
        <v>2+3j</v>
      </c>
    </row>
    <row r="43" spans="1:4">
      <c r="A43" t="s">
        <v>167</v>
      </c>
      <c r="B43" t="str">
        <f>IMLOG2(C43)</f>
        <v>1.85021985907055+1.41787163074572j</v>
      </c>
      <c r="C43" t="str">
        <f t="shared" si="0"/>
        <v>2+3j</v>
      </c>
    </row>
    <row r="44" spans="1:4">
      <c r="A44" t="s">
        <v>168</v>
      </c>
      <c r="B44" t="str">
        <f>IMPOWER(C44,2)</f>
        <v>-5+12j</v>
      </c>
      <c r="C44" t="str">
        <f t="shared" si="0"/>
        <v>2+3j</v>
      </c>
    </row>
    <row r="45" spans="1:4">
      <c r="A45" t="s">
        <v>169</v>
      </c>
      <c r="B45" t="str">
        <f>IMPRODUCT(C45,D45)</f>
        <v>-10+24j</v>
      </c>
      <c r="C45" t="str">
        <f t="shared" si="0"/>
        <v>2+3j</v>
      </c>
      <c r="D45" t="str">
        <f>COMPLEX(4,6,"j")</f>
        <v>4+6j</v>
      </c>
    </row>
    <row r="46" spans="1:4">
      <c r="A46" t="s">
        <v>170</v>
      </c>
      <c r="B46">
        <f>IMREAL(C46)</f>
        <v>2</v>
      </c>
      <c r="C46" t="str">
        <f t="shared" si="0"/>
        <v>2+3j</v>
      </c>
    </row>
    <row r="47" spans="1:4">
      <c r="A47" t="s">
        <v>171</v>
      </c>
      <c r="B47" t="str">
        <f>IMSIN(C47)</f>
        <v>9.15449914691143-4.16890695996656j</v>
      </c>
      <c r="C47" t="str">
        <f t="shared" si="0"/>
        <v>2+3j</v>
      </c>
    </row>
    <row r="48" spans="1:4">
      <c r="A48" t="s">
        <v>172</v>
      </c>
      <c r="B48" t="str">
        <f>IMSQRT(C48)</f>
        <v>1.67414922803554+0.895977476129838j</v>
      </c>
      <c r="C48" t="str">
        <f t="shared" si="0"/>
        <v>2+3j</v>
      </c>
    </row>
    <row r="49" spans="1:4">
      <c r="A49" t="s">
        <v>173</v>
      </c>
      <c r="B49" t="str">
        <f>IMSUB(C49,D49)</f>
        <v>-2-2j</v>
      </c>
      <c r="C49" t="str">
        <f t="shared" si="0"/>
        <v>2+3j</v>
      </c>
      <c r="D49" t="str">
        <f>COMPLEX(4,5,"j")</f>
        <v>4+5j</v>
      </c>
    </row>
    <row r="50" spans="1:4">
      <c r="A50" t="s">
        <v>174</v>
      </c>
      <c r="B50" t="str">
        <f>IMSUM(C33:D50)</f>
        <v>48+70j</v>
      </c>
      <c r="C50" t="str">
        <f t="shared" si="0"/>
        <v>2+3j</v>
      </c>
      <c r="D50" t="str">
        <f>COMPLEX(4,5,"j")</f>
        <v>4+5j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workbookViewId="0"/>
  </sheetViews>
  <sheetFormatPr baseColWidth="10" defaultRowHeight="15" x14ac:dyDescent="0"/>
  <cols>
    <col min="2" max="2" width="12.83203125" bestFit="1" customWidth="1"/>
    <col min="7" max="7" width="11.83203125" bestFit="1" customWidth="1"/>
  </cols>
  <sheetData>
    <row r="1" spans="1:11">
      <c r="A1" t="s">
        <v>121</v>
      </c>
    </row>
    <row r="2" spans="1:11">
      <c r="A2" t="s">
        <v>79</v>
      </c>
      <c r="B2">
        <f>DOLLARDE(D2,E2)</f>
        <v>1.125</v>
      </c>
      <c r="D2">
        <v>1.02</v>
      </c>
      <c r="E2">
        <v>16</v>
      </c>
    </row>
    <row r="3" spans="1:11">
      <c r="A3" t="s">
        <v>80</v>
      </c>
      <c r="B3">
        <f>DOLLARFR(B2,E2)</f>
        <v>1.02</v>
      </c>
    </row>
    <row r="4" spans="1:11">
      <c r="A4" t="s">
        <v>82</v>
      </c>
      <c r="B4">
        <f>EFFECT(D4,E4)</f>
        <v>5.3542667370758412E-2</v>
      </c>
      <c r="D4" s="2">
        <v>5.2499999999999998E-2</v>
      </c>
      <c r="E4">
        <v>4</v>
      </c>
    </row>
    <row r="5" spans="1:11">
      <c r="A5" t="s">
        <v>91</v>
      </c>
      <c r="B5">
        <f>NOMINAL(B4,E4)</f>
        <v>5.2500000000000213E-2</v>
      </c>
    </row>
    <row r="7" spans="1:11">
      <c r="A7" t="s">
        <v>136</v>
      </c>
      <c r="C7" s="3"/>
    </row>
    <row r="8" spans="1:11">
      <c r="A8" t="s">
        <v>87</v>
      </c>
      <c r="B8" s="3">
        <f>IRR(D8:I8,0.1)</f>
        <v>8.663094803652216E-2</v>
      </c>
      <c r="D8">
        <v>-70000</v>
      </c>
      <c r="E8">
        <v>12000</v>
      </c>
      <c r="F8">
        <v>15000</v>
      </c>
      <c r="G8">
        <v>18000</v>
      </c>
      <c r="H8">
        <v>21000</v>
      </c>
      <c r="I8">
        <v>26000</v>
      </c>
    </row>
    <row r="9" spans="1:11">
      <c r="A9" t="s">
        <v>90</v>
      </c>
      <c r="B9" s="3">
        <f>MIRR(D9:I9,J9,K9)</f>
        <v>0.12609413036590511</v>
      </c>
      <c r="D9">
        <v>-120000</v>
      </c>
      <c r="E9">
        <v>39000</v>
      </c>
      <c r="F9">
        <v>30000</v>
      </c>
      <c r="G9">
        <v>21000</v>
      </c>
      <c r="H9">
        <v>37000</v>
      </c>
      <c r="I9">
        <v>46000</v>
      </c>
      <c r="J9" s="3">
        <v>0.1</v>
      </c>
      <c r="K9" s="3">
        <v>0.12</v>
      </c>
    </row>
    <row r="10" spans="1:11">
      <c r="A10" t="s">
        <v>93</v>
      </c>
      <c r="B10" s="4">
        <f>NPV(D10,E10,F10,G10,H10)</f>
        <v>1188.4434123352207</v>
      </c>
      <c r="D10" s="3">
        <v>0.1</v>
      </c>
      <c r="E10">
        <v>-10000</v>
      </c>
      <c r="F10">
        <v>3000</v>
      </c>
      <c r="G10">
        <v>4200</v>
      </c>
      <c r="H10">
        <v>6800</v>
      </c>
    </row>
    <row r="11" spans="1:11">
      <c r="A11" t="s">
        <v>112</v>
      </c>
      <c r="B11">
        <f>XIRR(E10:H10,E11:H11)</f>
        <v>5.3152377605438241</v>
      </c>
      <c r="E11" s="1">
        <v>41275</v>
      </c>
      <c r="F11" s="1">
        <v>41306</v>
      </c>
      <c r="G11" s="1">
        <v>41334</v>
      </c>
      <c r="H11" s="1">
        <v>41365</v>
      </c>
    </row>
    <row r="12" spans="1:11">
      <c r="A12" t="s">
        <v>113</v>
      </c>
      <c r="B12">
        <f>XNPV(B11,E10:H10,E11:H11)</f>
        <v>-6.2115468608681113E-6</v>
      </c>
    </row>
    <row r="13" spans="1:11">
      <c r="A13" t="s">
        <v>84</v>
      </c>
      <c r="B13">
        <f>FVSCHEDULE(1,{0.09,0.11,0.1})</f>
        <v>1.3308900000000004</v>
      </c>
      <c r="C13">
        <f>FVSCHEDULE(1,D13:F13)</f>
        <v>1.3308900000000004</v>
      </c>
      <c r="D13">
        <v>0.09</v>
      </c>
      <c r="E13">
        <v>0.11</v>
      </c>
      <c r="F13">
        <v>0.1</v>
      </c>
    </row>
    <row r="15" spans="1:11">
      <c r="A15" t="s">
        <v>132</v>
      </c>
      <c r="D15" t="s">
        <v>129</v>
      </c>
      <c r="E15" t="s">
        <v>133</v>
      </c>
      <c r="F15" t="s">
        <v>134</v>
      </c>
      <c r="G15" t="s">
        <v>135</v>
      </c>
    </row>
    <row r="16" spans="1:11">
      <c r="A16" t="s">
        <v>83</v>
      </c>
      <c r="B16" s="4">
        <f>FV(D16/12,E16,F16,G16,1)</f>
        <v>2581.4033740601185</v>
      </c>
      <c r="D16" s="3">
        <v>0.06</v>
      </c>
      <c r="E16">
        <v>10</v>
      </c>
      <c r="F16">
        <v>-200</v>
      </c>
      <c r="G16">
        <v>-500</v>
      </c>
    </row>
    <row r="17" spans="1:9">
      <c r="A17" t="s">
        <v>86</v>
      </c>
      <c r="B17" s="4">
        <f>IPMT(D17/12,3,E17,G17)</f>
        <v>-22.406893015924034</v>
      </c>
      <c r="D17" s="3">
        <v>0.1</v>
      </c>
      <c r="E17">
        <v>3</v>
      </c>
      <c r="G17">
        <v>8000</v>
      </c>
    </row>
    <row r="18" spans="1:9">
      <c r="A18" t="s">
        <v>88</v>
      </c>
      <c r="B18" s="4">
        <f>ISPMT(D18/12,1,E18*12,G18)</f>
        <v>-64.814814814814824</v>
      </c>
      <c r="D18" s="3">
        <v>0.1</v>
      </c>
      <c r="E18">
        <v>3</v>
      </c>
      <c r="G18">
        <v>8000</v>
      </c>
    </row>
    <row r="19" spans="1:9">
      <c r="A19" t="s">
        <v>92</v>
      </c>
      <c r="B19">
        <f>NPER(D19/12,F19,G19)</f>
        <v>-9.5785940398131615</v>
      </c>
      <c r="D19" s="3">
        <v>0.12</v>
      </c>
      <c r="F19">
        <v>-100</v>
      </c>
      <c r="G19">
        <v>-1000</v>
      </c>
    </row>
    <row r="20" spans="1:9">
      <c r="A20" t="s">
        <v>98</v>
      </c>
      <c r="B20" s="4">
        <f>PMT(D17/12,E17,G17)</f>
        <v>-2711.2340549268079</v>
      </c>
    </row>
    <row r="21" spans="1:9">
      <c r="A21" t="s">
        <v>99</v>
      </c>
      <c r="B21" s="4">
        <f>PPMT(D17/12,3,E17,G17)</f>
        <v>-2688.8271619108841</v>
      </c>
    </row>
    <row r="22" spans="1:9">
      <c r="A22" t="s">
        <v>103</v>
      </c>
      <c r="B22" s="4">
        <f>PV(D22/12,12*E22,F22)</f>
        <v>-59777.145851187823</v>
      </c>
      <c r="D22" s="3">
        <v>0.08</v>
      </c>
      <c r="E22">
        <v>20</v>
      </c>
      <c r="F22">
        <v>500</v>
      </c>
    </row>
    <row r="23" spans="1:9">
      <c r="A23" t="s">
        <v>104</v>
      </c>
      <c r="B23" s="3">
        <f>RATE(E23*12,F23,G23)*12</f>
        <v>9.2417669858416415E-2</v>
      </c>
      <c r="E23">
        <v>4</v>
      </c>
      <c r="F23">
        <v>-200</v>
      </c>
      <c r="G23">
        <v>8000</v>
      </c>
    </row>
    <row r="24" spans="1:9">
      <c r="A24" t="s">
        <v>74</v>
      </c>
      <c r="B24">
        <f>CUMIPMT(D24/12,E24*12,F24,G24,H24,0)</f>
        <v>-11135.232130750841</v>
      </c>
      <c r="D24" s="3">
        <v>0.09</v>
      </c>
      <c r="E24">
        <v>30</v>
      </c>
      <c r="F24">
        <v>125000</v>
      </c>
      <c r="G24">
        <v>13</v>
      </c>
      <c r="H24">
        <v>24</v>
      </c>
    </row>
    <row r="25" spans="1:9">
      <c r="A25" t="s">
        <v>75</v>
      </c>
      <c r="B25">
        <f>CUMPRINC(D24/12,E24*12,F24,G24,H24,0)</f>
        <v>-934.10712342089789</v>
      </c>
    </row>
    <row r="27" spans="1:9">
      <c r="A27" t="s">
        <v>130</v>
      </c>
      <c r="D27" t="s">
        <v>117</v>
      </c>
      <c r="E27" t="s">
        <v>118</v>
      </c>
      <c r="F27" t="s">
        <v>119</v>
      </c>
      <c r="G27" t="s">
        <v>120</v>
      </c>
      <c r="H27" t="s">
        <v>131</v>
      </c>
    </row>
    <row r="28" spans="1:9">
      <c r="A28" t="s">
        <v>108</v>
      </c>
      <c r="B28">
        <f>TBILLEQ(D29,E29,F28)</f>
        <v>9.4151493565943017E-2</v>
      </c>
      <c r="F28" s="2">
        <v>9.1399999999999995E-2</v>
      </c>
    </row>
    <row r="29" spans="1:9">
      <c r="A29" t="s">
        <v>109</v>
      </c>
      <c r="B29">
        <f>TBILLPRICE(D29,E29,F29)</f>
        <v>98.45</v>
      </c>
      <c r="D29" s="1">
        <v>39538</v>
      </c>
      <c r="E29" s="1">
        <v>39600</v>
      </c>
      <c r="F29" s="3">
        <v>0.09</v>
      </c>
      <c r="G29">
        <v>98.45</v>
      </c>
    </row>
    <row r="30" spans="1:9">
      <c r="A30" t="s">
        <v>110</v>
      </c>
      <c r="B30">
        <f>TBILLYIELD(D29,E29,G29)</f>
        <v>9.141696292534264E-2</v>
      </c>
    </row>
    <row r="31" spans="1:9">
      <c r="A31" t="s">
        <v>100</v>
      </c>
      <c r="B31">
        <f>PRICE(D31,E31,F31,G31,H31,I31)</f>
        <v>94.634361621322128</v>
      </c>
      <c r="D31" s="1">
        <v>39493</v>
      </c>
      <c r="E31" s="1">
        <v>43054</v>
      </c>
      <c r="F31" s="2">
        <v>5.7500000000000002E-2</v>
      </c>
      <c r="G31" s="2">
        <v>6.5000000000000002E-2</v>
      </c>
      <c r="H31">
        <v>100</v>
      </c>
      <c r="I31">
        <v>2</v>
      </c>
    </row>
    <row r="32" spans="1:9">
      <c r="A32" t="s">
        <v>114</v>
      </c>
      <c r="B32">
        <f>YIELD(D32,E32,F32,G32,H32,I32)</f>
        <v>6.5000006880731431E-2</v>
      </c>
      <c r="D32" s="1">
        <v>39493</v>
      </c>
      <c r="E32" s="1">
        <v>42689</v>
      </c>
      <c r="F32" s="2">
        <v>5.7500000000000002E-2</v>
      </c>
      <c r="G32" s="6">
        <v>95.042869999999994</v>
      </c>
      <c r="H32">
        <v>100</v>
      </c>
      <c r="I32">
        <v>2</v>
      </c>
    </row>
    <row r="33" spans="1:12">
      <c r="A33" t="s">
        <v>78</v>
      </c>
      <c r="B33">
        <f>DISC(D33,E33,G33,H33)</f>
        <v>5.2071428571428838E-2</v>
      </c>
      <c r="D33" s="1">
        <v>39107</v>
      </c>
      <c r="E33" s="1">
        <v>39248</v>
      </c>
      <c r="G33">
        <v>97.974999999999994</v>
      </c>
      <c r="H33">
        <v>100</v>
      </c>
    </row>
    <row r="34" spans="1:12">
      <c r="A34" t="s">
        <v>101</v>
      </c>
      <c r="B34">
        <f>PRICEDISC(D34,E34,F34,H34,SQRT(4))</f>
        <v>99.795833333333334</v>
      </c>
      <c r="D34" s="1">
        <v>39494</v>
      </c>
      <c r="E34" s="1">
        <v>39508</v>
      </c>
      <c r="F34" s="2">
        <v>5.2499999999999998E-2</v>
      </c>
      <c r="H34">
        <v>100</v>
      </c>
    </row>
    <row r="35" spans="1:12">
      <c r="A35" t="s">
        <v>115</v>
      </c>
      <c r="B35">
        <f>YIELDDISC(D34,E34,G35,H34,LOG(100)/LOG(10))</f>
        <v>5.2822571986858337E-2</v>
      </c>
      <c r="G35">
        <v>99.795000000000002</v>
      </c>
    </row>
    <row r="36" spans="1:12">
      <c r="A36" t="s">
        <v>102</v>
      </c>
      <c r="B36">
        <f>PRICEMAT(D36,E36,F36,G36,G36,H36)</f>
        <v>99.984498875556937</v>
      </c>
      <c r="D36" s="1">
        <v>39493</v>
      </c>
      <c r="E36" s="1">
        <v>39551</v>
      </c>
      <c r="F36" s="1">
        <v>39397</v>
      </c>
      <c r="G36" s="2">
        <v>6.0999999999999999E-2</v>
      </c>
      <c r="H36" s="1">
        <v>0</v>
      </c>
    </row>
    <row r="37" spans="1:12">
      <c r="A37" t="s">
        <v>116</v>
      </c>
      <c r="B37">
        <f>YIELDMAT(D37,E37,F37,G37,H37,I37)</f>
        <v>6.0954333691538673E-2</v>
      </c>
      <c r="D37" s="1">
        <v>39522</v>
      </c>
      <c r="E37" s="1">
        <v>39755</v>
      </c>
      <c r="F37" s="1">
        <v>39394</v>
      </c>
      <c r="G37" s="2">
        <v>6.25E-2</v>
      </c>
      <c r="H37" s="6">
        <v>100.0123</v>
      </c>
      <c r="I37" s="6">
        <v>0</v>
      </c>
    </row>
    <row r="38" spans="1:12">
      <c r="A38" t="s">
        <v>81</v>
      </c>
      <c r="B38">
        <f>DURATION(D38,E38,F38,G38,H38,I38)</f>
        <v>5.9937749555451862</v>
      </c>
      <c r="D38" s="1">
        <v>39448</v>
      </c>
      <c r="E38" s="1">
        <v>42370</v>
      </c>
      <c r="F38" s="3">
        <v>0.08</v>
      </c>
      <c r="G38" s="3">
        <v>0.09</v>
      </c>
      <c r="H38" s="6">
        <v>2</v>
      </c>
      <c r="I38">
        <v>1</v>
      </c>
    </row>
    <row r="39" spans="1:12">
      <c r="A39" t="s">
        <v>89</v>
      </c>
      <c r="B39">
        <f>MDURATION(D38,E38,F38,G38,H38,I38)</f>
        <v>5.7356698139188387</v>
      </c>
    </row>
    <row r="40" spans="1:12">
      <c r="A40" t="s">
        <v>64</v>
      </c>
      <c r="B40">
        <f>ACCRINT(D40,E40,F40,G40,H40,I40,J40)</f>
        <v>16.666666666666664</v>
      </c>
      <c r="D40" s="5">
        <v>39508</v>
      </c>
      <c r="E40" s="5">
        <v>39691</v>
      </c>
      <c r="F40" s="5">
        <v>39569</v>
      </c>
      <c r="G40" s="3">
        <v>0.1</v>
      </c>
      <c r="H40" s="6">
        <v>1000</v>
      </c>
      <c r="I40" s="6">
        <v>2</v>
      </c>
      <c r="J40" s="6">
        <v>0</v>
      </c>
    </row>
    <row r="41" spans="1:12">
      <c r="A41" t="s">
        <v>65</v>
      </c>
      <c r="B41">
        <f>ACCRINTM(D41,E41,G41,H41,I41)</f>
        <v>20.547945205479451</v>
      </c>
      <c r="D41" s="5">
        <v>39539</v>
      </c>
      <c r="E41" s="5">
        <v>39614</v>
      </c>
      <c r="G41" s="3">
        <v>0.1</v>
      </c>
      <c r="H41">
        <v>1000</v>
      </c>
      <c r="I41" s="6">
        <v>3</v>
      </c>
    </row>
    <row r="42" spans="1:12">
      <c r="A42" t="s">
        <v>85</v>
      </c>
      <c r="B42">
        <f>INTRATE(D42,E42,F42,G42,H42)</f>
        <v>5.7680000000000002E-2</v>
      </c>
      <c r="D42" s="5">
        <v>39493</v>
      </c>
      <c r="E42" s="5">
        <v>39583</v>
      </c>
      <c r="F42">
        <v>1000000</v>
      </c>
      <c r="G42" s="6">
        <v>1014420</v>
      </c>
      <c r="H42" s="6">
        <v>2</v>
      </c>
    </row>
    <row r="43" spans="1:12">
      <c r="A43" t="s">
        <v>105</v>
      </c>
      <c r="B43">
        <f>RECEIVED(D43,E43,F43,G43,H43)</f>
        <v>1014584.6544071021</v>
      </c>
      <c r="D43" s="5">
        <v>39493</v>
      </c>
      <c r="E43" s="5">
        <v>39583</v>
      </c>
      <c r="F43">
        <v>1000000</v>
      </c>
      <c r="G43" s="2">
        <v>5.7500000000000002E-2</v>
      </c>
      <c r="H43" s="6">
        <v>2</v>
      </c>
    </row>
    <row r="44" spans="1:12">
      <c r="A44" t="s">
        <v>94</v>
      </c>
      <c r="B44">
        <f>ODDFPRICE(D44,E44,F44,G44,H44,I44,J44,K44,L44)</f>
        <v>113.59771747407883</v>
      </c>
      <c r="D44" s="1">
        <v>39763</v>
      </c>
      <c r="E44" s="1">
        <v>44256</v>
      </c>
      <c r="F44" s="1">
        <v>39736</v>
      </c>
      <c r="G44" s="1">
        <v>39873</v>
      </c>
      <c r="H44" s="2">
        <v>7.85E-2</v>
      </c>
      <c r="I44" s="2">
        <v>6.25E-2</v>
      </c>
      <c r="J44">
        <v>100</v>
      </c>
      <c r="K44">
        <v>2</v>
      </c>
      <c r="L44">
        <v>1</v>
      </c>
    </row>
    <row r="45" spans="1:12">
      <c r="A45" t="s">
        <v>95</v>
      </c>
      <c r="B45">
        <f>ODDFYIELD(D45,E45,F45,G45,H45,I45,J45,K45,L45)</f>
        <v>7.7245541597298878E-2</v>
      </c>
      <c r="D45" s="1">
        <v>39763</v>
      </c>
      <c r="E45" s="1">
        <v>44256</v>
      </c>
      <c r="F45" s="1">
        <v>39736</v>
      </c>
      <c r="G45" s="1">
        <v>39873</v>
      </c>
      <c r="H45" s="2">
        <v>5.7500000000000002E-2</v>
      </c>
      <c r="I45" s="6">
        <v>84.5</v>
      </c>
      <c r="J45">
        <v>100</v>
      </c>
      <c r="K45">
        <v>2</v>
      </c>
      <c r="L45">
        <v>0</v>
      </c>
    </row>
    <row r="46" spans="1:12">
      <c r="A46" t="s">
        <v>96</v>
      </c>
      <c r="B46">
        <f>ODDLPRICE(D46,E46,F46,G46,H46,I46,J46,K46)</f>
        <v>110.88286909824446</v>
      </c>
      <c r="D46" s="1">
        <v>39763</v>
      </c>
      <c r="E46" s="1">
        <v>44256</v>
      </c>
      <c r="F46" s="1">
        <v>39736</v>
      </c>
      <c r="G46" s="2">
        <v>7.85E-2</v>
      </c>
      <c r="H46" s="2">
        <v>6.25E-2</v>
      </c>
      <c r="I46">
        <v>100</v>
      </c>
      <c r="J46">
        <v>2</v>
      </c>
      <c r="K46">
        <v>0</v>
      </c>
    </row>
    <row r="47" spans="1:12">
      <c r="A47" t="s">
        <v>97</v>
      </c>
      <c r="B47">
        <f>ODDLYIELD(D47,E47,F47,G47,H47,I47,J47,K47)</f>
        <v>8.2548086314953334E-2</v>
      </c>
      <c r="D47" s="1">
        <v>39763</v>
      </c>
      <c r="E47" s="1">
        <v>44256</v>
      </c>
      <c r="F47" s="1">
        <v>39736</v>
      </c>
      <c r="G47" s="2">
        <v>5.7500000000000002E-2</v>
      </c>
      <c r="H47" s="6">
        <v>84.5</v>
      </c>
      <c r="I47">
        <v>100</v>
      </c>
      <c r="J47">
        <v>2</v>
      </c>
      <c r="K47">
        <v>0</v>
      </c>
    </row>
    <row r="48" spans="1:12">
      <c r="A48" t="s">
        <v>68</v>
      </c>
      <c r="B48">
        <f>COUPDAYBS(D48,E48,F48,G48)</f>
        <v>71</v>
      </c>
      <c r="D48" s="5">
        <f>DATE(2007,1,25)</f>
        <v>39107</v>
      </c>
      <c r="E48" s="5">
        <f>DATE(2008,11,15)</f>
        <v>39767</v>
      </c>
      <c r="F48">
        <v>2</v>
      </c>
      <c r="G48">
        <v>1</v>
      </c>
    </row>
    <row r="49" spans="1:9">
      <c r="A49" t="s">
        <v>69</v>
      </c>
      <c r="B49">
        <f>COUPDAYS(D48,E48,F48,G48)</f>
        <v>181</v>
      </c>
    </row>
    <row r="50" spans="1:9">
      <c r="A50" t="s">
        <v>70</v>
      </c>
      <c r="B50">
        <f>COUPDAYSNC(D48,E48,F48,G48)</f>
        <v>110</v>
      </c>
    </row>
    <row r="51" spans="1:9">
      <c r="A51" t="s">
        <v>71</v>
      </c>
      <c r="B51" s="5">
        <f>COUPNCD(D48,E48,F48,G48)</f>
        <v>39217</v>
      </c>
      <c r="C51" s="5"/>
    </row>
    <row r="52" spans="1:9">
      <c r="A52" t="s">
        <v>72</v>
      </c>
      <c r="B52">
        <f>COUPNUM(D48,E48,F48,G48)</f>
        <v>4</v>
      </c>
    </row>
    <row r="53" spans="1:9">
      <c r="A53" t="s">
        <v>73</v>
      </c>
      <c r="B53">
        <f>COUPPCD(D48,E48,F48,G48)</f>
        <v>39036</v>
      </c>
    </row>
    <row r="55" spans="1:9">
      <c r="A55" t="s">
        <v>122</v>
      </c>
      <c r="D55" t="s">
        <v>123</v>
      </c>
      <c r="E55" t="s">
        <v>124</v>
      </c>
      <c r="F55" t="s">
        <v>125</v>
      </c>
      <c r="G55" t="s">
        <v>126</v>
      </c>
    </row>
    <row r="56" spans="1:9">
      <c r="A56" t="s">
        <v>76</v>
      </c>
      <c r="B56" s="4">
        <f>DB(D56,E56,F56,G56,H56)</f>
        <v>55841.756736028445</v>
      </c>
      <c r="D56">
        <v>1000000</v>
      </c>
      <c r="E56">
        <v>100000</v>
      </c>
      <c r="F56">
        <v>6</v>
      </c>
      <c r="G56">
        <v>6</v>
      </c>
      <c r="H56">
        <v>7</v>
      </c>
    </row>
    <row r="57" spans="1:9">
      <c r="A57" t="s">
        <v>77</v>
      </c>
      <c r="B57" s="4">
        <f>DDB(D57,E57,F57*365,G57)</f>
        <v>1.3143479076749858</v>
      </c>
      <c r="D57">
        <v>2400</v>
      </c>
      <c r="E57">
        <v>300</v>
      </c>
      <c r="F57">
        <v>10</v>
      </c>
      <c r="G57">
        <v>2</v>
      </c>
    </row>
    <row r="58" spans="1:9">
      <c r="A58" t="s">
        <v>106</v>
      </c>
      <c r="B58" s="4">
        <f>SLN(D59,E59,F59)</f>
        <v>2250</v>
      </c>
    </row>
    <row r="59" spans="1:9">
      <c r="A59" t="s">
        <v>107</v>
      </c>
      <c r="B59" s="4">
        <f>SYD(D59,E59,F59,G59)</f>
        <v>409.09090909090907</v>
      </c>
      <c r="D59">
        <v>30000</v>
      </c>
      <c r="E59">
        <v>7500</v>
      </c>
      <c r="F59">
        <v>10</v>
      </c>
      <c r="G59">
        <v>10</v>
      </c>
    </row>
    <row r="60" spans="1:9">
      <c r="A60" t="s">
        <v>111</v>
      </c>
      <c r="B60" s="4">
        <f>VDB(D57,E57,F57*365,5,9)</f>
        <v>5.2415679423312396</v>
      </c>
      <c r="D60" t="s">
        <v>123</v>
      </c>
      <c r="E60" t="s">
        <v>124</v>
      </c>
      <c r="F60" t="s">
        <v>129</v>
      </c>
      <c r="G60" t="s">
        <v>126</v>
      </c>
      <c r="H60" t="s">
        <v>127</v>
      </c>
      <c r="I60" t="s">
        <v>128</v>
      </c>
    </row>
    <row r="61" spans="1:9">
      <c r="A61" t="s">
        <v>66</v>
      </c>
      <c r="B61">
        <f>AMORDEGRC(D62,H62,I62,E62,G62,F62)</f>
        <v>767</v>
      </c>
    </row>
    <row r="62" spans="1:9">
      <c r="A62" t="s">
        <v>67</v>
      </c>
      <c r="B62">
        <f>AMORLINC(D62,H62,I62,E62,G62,F62)</f>
        <v>360</v>
      </c>
      <c r="D62">
        <v>2400</v>
      </c>
      <c r="E62">
        <v>300</v>
      </c>
      <c r="F62" s="3">
        <v>0.15</v>
      </c>
      <c r="G62">
        <v>1</v>
      </c>
      <c r="H62" s="5">
        <v>39669</v>
      </c>
      <c r="I62" s="5">
        <v>39813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workbookViewId="0">
      <selection activeCell="C8" sqref="C8"/>
    </sheetView>
  </sheetViews>
  <sheetFormatPr baseColWidth="10" defaultRowHeight="15" x14ac:dyDescent="0"/>
  <sheetData>
    <row r="1" spans="1:3">
      <c r="A1" t="s">
        <v>414</v>
      </c>
      <c r="B1" t="str">
        <f ca="1">CELL(C1,D1)</f>
        <v>$D$1</v>
      </c>
      <c r="C1" t="s">
        <v>463</v>
      </c>
    </row>
    <row r="2" spans="1:3">
      <c r="A2" t="s">
        <v>415</v>
      </c>
      <c r="B2">
        <f>ERROR.TYPE(#VALUE!)</f>
        <v>3</v>
      </c>
      <c r="C2" t="e">
        <f>0/0</f>
        <v>#DIV/0!</v>
      </c>
    </row>
    <row r="3" spans="1:3">
      <c r="A3" t="s">
        <v>416</v>
      </c>
      <c r="B3" t="str">
        <f ca="1">INFO(C3)</f>
        <v>14.3</v>
      </c>
      <c r="C3" t="s">
        <v>464</v>
      </c>
    </row>
    <row r="4" spans="1:3">
      <c r="A4" t="s">
        <v>417</v>
      </c>
      <c r="B4" t="b">
        <f>ISBLANK(C4)</f>
        <v>1</v>
      </c>
    </row>
    <row r="5" spans="1:3">
      <c r="A5" t="s">
        <v>418</v>
      </c>
      <c r="B5" t="b">
        <f>ISERR(C5)</f>
        <v>0</v>
      </c>
    </row>
    <row r="6" spans="1:3">
      <c r="A6" t="s">
        <v>419</v>
      </c>
      <c r="B6" t="b">
        <f>ISERROR(C2)</f>
        <v>1</v>
      </c>
    </row>
    <row r="7" spans="1:3">
      <c r="A7" t="s">
        <v>420</v>
      </c>
      <c r="B7" t="b">
        <f>ISEVEN(C7)</f>
        <v>0</v>
      </c>
      <c r="C7">
        <v>7</v>
      </c>
    </row>
    <row r="8" spans="1:3">
      <c r="A8" t="s">
        <v>421</v>
      </c>
      <c r="B8" t="b">
        <f>ISLOGICAL(C8)</f>
        <v>1</v>
      </c>
      <c r="C8" t="b">
        <v>1</v>
      </c>
    </row>
    <row r="9" spans="1:3">
      <c r="A9" t="s">
        <v>422</v>
      </c>
      <c r="B9" t="b">
        <f>ISNA(C9)</f>
        <v>1</v>
      </c>
      <c r="C9" t="e">
        <f>NA()</f>
        <v>#N/A</v>
      </c>
    </row>
    <row r="10" spans="1:3">
      <c r="A10" t="s">
        <v>423</v>
      </c>
      <c r="B10" t="b">
        <f>ISNONTEXT(C10)</f>
        <v>1</v>
      </c>
      <c r="C10">
        <v>3</v>
      </c>
    </row>
    <row r="11" spans="1:3">
      <c r="A11" t="s">
        <v>424</v>
      </c>
      <c r="B11" t="b">
        <f>ISNUMBER(C11)</f>
        <v>0</v>
      </c>
      <c r="C11" s="7" t="s">
        <v>465</v>
      </c>
    </row>
    <row r="12" spans="1:3">
      <c r="A12" t="s">
        <v>425</v>
      </c>
      <c r="B12" t="b">
        <f>ISODD(C12)</f>
        <v>1</v>
      </c>
      <c r="C12" s="7" t="s">
        <v>465</v>
      </c>
    </row>
    <row r="13" spans="1:3">
      <c r="A13" t="s">
        <v>426</v>
      </c>
      <c r="B13" t="b">
        <f>ISREF("address")</f>
        <v>0</v>
      </c>
      <c r="C13" t="s">
        <v>466</v>
      </c>
    </row>
    <row r="14" spans="1:3">
      <c r="A14" t="s">
        <v>427</v>
      </c>
      <c r="B14" t="b">
        <f>ISTEXT(C14)</f>
        <v>0</v>
      </c>
      <c r="C14">
        <v>3</v>
      </c>
    </row>
    <row r="15" spans="1:3">
      <c r="A15" t="s">
        <v>428</v>
      </c>
      <c r="B15">
        <f>N(C15)</f>
        <v>1</v>
      </c>
      <c r="C15" t="b">
        <v>1</v>
      </c>
    </row>
    <row r="16" spans="1:3">
      <c r="A16" t="s">
        <v>429</v>
      </c>
      <c r="B16" t="e">
        <f>NA()</f>
        <v>#N/A</v>
      </c>
    </row>
    <row r="17" spans="1:2">
      <c r="A17" t="s">
        <v>430</v>
      </c>
      <c r="B17">
        <f>TYPE({1,2;3,4})</f>
        <v>64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/>
  </sheetViews>
  <sheetFormatPr baseColWidth="10" defaultRowHeight="15" x14ac:dyDescent="0"/>
  <sheetData>
    <row r="1" spans="1:4">
      <c r="A1" t="s">
        <v>191</v>
      </c>
    </row>
    <row r="2" spans="1:4">
      <c r="A2" s="7" t="s">
        <v>185</v>
      </c>
      <c r="B2" t="b">
        <f>FALSE()</f>
        <v>0</v>
      </c>
    </row>
    <row r="3" spans="1:4">
      <c r="A3" s="7" t="s">
        <v>190</v>
      </c>
      <c r="B3" t="b">
        <f>TRUE()</f>
        <v>1</v>
      </c>
    </row>
    <row r="4" spans="1:4">
      <c r="A4" s="7"/>
    </row>
    <row r="5" spans="1:4">
      <c r="A5" s="7" t="s">
        <v>192</v>
      </c>
    </row>
    <row r="6" spans="1:4">
      <c r="A6" t="s">
        <v>184</v>
      </c>
      <c r="B6" t="b">
        <f>AND(C6,D6)</f>
        <v>0</v>
      </c>
      <c r="C6" t="b">
        <v>1</v>
      </c>
      <c r="D6" t="b">
        <v>0</v>
      </c>
    </row>
    <row r="7" spans="1:4">
      <c r="A7" t="s">
        <v>188</v>
      </c>
      <c r="B7" t="b">
        <f>NOT(C6)</f>
        <v>0</v>
      </c>
    </row>
    <row r="8" spans="1:4">
      <c r="A8" t="s">
        <v>189</v>
      </c>
      <c r="B8" t="b">
        <f>OR(C6,D6)</f>
        <v>1</v>
      </c>
    </row>
    <row r="10" spans="1:4">
      <c r="A10" t="s">
        <v>193</v>
      </c>
    </row>
    <row r="11" spans="1:4">
      <c r="A11" t="s">
        <v>186</v>
      </c>
      <c r="B11">
        <f>IF(B8,C11,D11)</f>
        <v>123</v>
      </c>
      <c r="C11">
        <v>123</v>
      </c>
      <c r="D11">
        <v>456</v>
      </c>
    </row>
    <row r="12" spans="1:4">
      <c r="A12" t="s">
        <v>187</v>
      </c>
      <c r="B12">
        <f>IFERROR(C12,D12)</f>
        <v>456</v>
      </c>
      <c r="C12" t="e">
        <f>0/0</f>
        <v>#DIV/0!</v>
      </c>
      <c r="D12">
        <v>456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activeCell="B26" sqref="B26"/>
    </sheetView>
  </sheetViews>
  <sheetFormatPr baseColWidth="10" defaultRowHeight="15" x14ac:dyDescent="0"/>
  <sheetData>
    <row r="1" spans="1:5">
      <c r="A1" t="s">
        <v>478</v>
      </c>
    </row>
    <row r="2" spans="1:5">
      <c r="A2" t="s">
        <v>367</v>
      </c>
      <c r="B2">
        <f>COLUMN(C2)</f>
        <v>3</v>
      </c>
    </row>
    <row r="3" spans="1:5">
      <c r="A3" t="s">
        <v>374</v>
      </c>
      <c r="B3">
        <f>ROW(C3)</f>
        <v>3</v>
      </c>
    </row>
    <row r="4" spans="1:5">
      <c r="A4" t="s">
        <v>368</v>
      </c>
      <c r="B4">
        <f>COLUMNS(A10:D21)</f>
        <v>4</v>
      </c>
    </row>
    <row r="5" spans="1:5">
      <c r="A5" t="s">
        <v>375</v>
      </c>
      <c r="B5">
        <f>ROWS(A10:D21)</f>
        <v>12</v>
      </c>
    </row>
    <row r="6" spans="1:5">
      <c r="A6" t="s">
        <v>371</v>
      </c>
      <c r="B6" t="str">
        <f ca="1">INDIRECT(C6)</f>
        <v>ADDRESS</v>
      </c>
      <c r="C6" t="s">
        <v>472</v>
      </c>
    </row>
    <row r="7" spans="1:5">
      <c r="A7" t="s">
        <v>365</v>
      </c>
      <c r="B7">
        <f>AREAS((B7:D14,E2,F4:H16))</f>
        <v>3</v>
      </c>
    </row>
    <row r="9" spans="1:5">
      <c r="A9" t="s">
        <v>461</v>
      </c>
    </row>
    <row r="10" spans="1:5">
      <c r="A10" t="s">
        <v>364</v>
      </c>
      <c r="B10" t="str">
        <f>ADDRESS(2,2)</f>
        <v>$B$2</v>
      </c>
    </row>
    <row r="11" spans="1:5">
      <c r="A11" t="s">
        <v>373</v>
      </c>
      <c r="B11">
        <f ca="1">OFFSET(C11,D11,E11)</f>
        <v>0</v>
      </c>
      <c r="C11" t="s">
        <v>476</v>
      </c>
      <c r="D11">
        <v>-1</v>
      </c>
      <c r="E11">
        <v>0</v>
      </c>
    </row>
    <row r="13" spans="1:5">
      <c r="A13" t="s">
        <v>479</v>
      </c>
      <c r="B13" s="15"/>
    </row>
    <row r="14" spans="1:5">
      <c r="A14" t="s">
        <v>366</v>
      </c>
      <c r="B14" t="str">
        <f>CHOOSE(C14,A10,A7,A14,#REF!,A2,A4,A15,A23,A16,A17)</f>
        <v>CHOOSE</v>
      </c>
      <c r="C14">
        <v>3</v>
      </c>
    </row>
    <row r="15" spans="1:5">
      <c r="A15" t="s">
        <v>369</v>
      </c>
      <c r="B15" t="str">
        <f>HLOOKUP(C15,A10:C21,10,FALSE)</f>
        <v>LOOKUP (arr)</v>
      </c>
      <c r="C15" t="s">
        <v>364</v>
      </c>
    </row>
    <row r="16" spans="1:5">
      <c r="A16" t="s">
        <v>470</v>
      </c>
      <c r="B16" t="str">
        <f ca="1">INDEX(A1:D21,C16,D16)</f>
        <v>ADDRESS</v>
      </c>
      <c r="C16">
        <v>6</v>
      </c>
      <c r="D16">
        <v>2</v>
      </c>
    </row>
    <row r="17" spans="1:4">
      <c r="A17" t="s">
        <v>471</v>
      </c>
      <c r="B17">
        <f>INDEX({1,2;3,4},C17,D17)</f>
        <v>3</v>
      </c>
      <c r="C17">
        <v>2</v>
      </c>
      <c r="D17">
        <v>1</v>
      </c>
    </row>
    <row r="18" spans="1:4">
      <c r="A18" t="s">
        <v>474</v>
      </c>
      <c r="B18" t="str">
        <f>LOOKUP(C18,A10:A21)</f>
        <v>MATCH</v>
      </c>
      <c r="C18" t="s">
        <v>473</v>
      </c>
    </row>
    <row r="19" spans="1:4">
      <c r="A19" t="s">
        <v>475</v>
      </c>
      <c r="B19">
        <f>LOOKUP(3,{1,2,2.5,4,5,6,7,8,9})</f>
        <v>2.5</v>
      </c>
    </row>
    <row r="20" spans="1:4">
      <c r="A20" t="s">
        <v>372</v>
      </c>
      <c r="B20">
        <f>MATCH(C20,A10:A21)</f>
        <v>11</v>
      </c>
      <c r="C20" t="s">
        <v>473</v>
      </c>
    </row>
    <row r="21" spans="1:4">
      <c r="A21" t="s">
        <v>377</v>
      </c>
      <c r="B21" t="str">
        <f>VLOOKUP(C21,A10:E21,D21)</f>
        <v>MATCH</v>
      </c>
      <c r="C21" t="s">
        <v>473</v>
      </c>
      <c r="D21">
        <v>1</v>
      </c>
    </row>
    <row r="23" spans="1:4">
      <c r="A23" t="s">
        <v>370</v>
      </c>
      <c r="B23" s="14" t="str">
        <f>HYPERLINK("http://nig.gl","niggler")</f>
        <v>niggler</v>
      </c>
    </row>
    <row r="24" spans="1:4">
      <c r="B24" s="14"/>
    </row>
    <row r="25" spans="1:4">
      <c r="A25" t="s">
        <v>477</v>
      </c>
    </row>
    <row r="26" spans="1:4">
      <c r="A26" t="s">
        <v>376</v>
      </c>
      <c r="B26" t="str">
        <f t="array" ref="B26:D26">TRANSPOSE(A2:A4)</f>
        <v>COLUMN</v>
      </c>
      <c r="C26" t="str">
        <v>ROW</v>
      </c>
      <c r="D26" t="str">
        <v>COLUMNS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"/>
  <sheetViews>
    <sheetView workbookViewId="0"/>
  </sheetViews>
  <sheetFormatPr baseColWidth="10" defaultRowHeight="15" x14ac:dyDescent="0"/>
  <cols>
    <col min="2" max="2" width="12.1640625" bestFit="1" customWidth="1"/>
  </cols>
  <sheetData>
    <row r="1" spans="1:1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</row>
    <row r="2" spans="1:11">
      <c r="A2" t="s">
        <v>0</v>
      </c>
      <c r="B2">
        <f>ABS(B1)</f>
        <v>2</v>
      </c>
      <c r="C2">
        <v>5</v>
      </c>
      <c r="D2">
        <v>6</v>
      </c>
      <c r="E2">
        <v>7</v>
      </c>
      <c r="F2">
        <v>8</v>
      </c>
    </row>
    <row r="3" spans="1:11">
      <c r="A3" t="s">
        <v>1</v>
      </c>
      <c r="B3">
        <f>ACOS(1/B1)</f>
        <v>1.0471975511965976</v>
      </c>
    </row>
    <row r="4" spans="1:11">
      <c r="A4" t="s">
        <v>2</v>
      </c>
      <c r="B4">
        <f>ACOSH(B1)</f>
        <v>1.3169578969248166</v>
      </c>
    </row>
    <row r="5" spans="1:11">
      <c r="A5" t="s">
        <v>3</v>
      </c>
      <c r="B5">
        <f>_xlfn.AGGREGATE(A1,B1,C1:K1)</f>
        <v>7</v>
      </c>
    </row>
    <row r="6" spans="1:11">
      <c r="A6" t="s">
        <v>4</v>
      </c>
      <c r="B6">
        <f>ASIN(1/B1)</f>
        <v>0.52359877559829893</v>
      </c>
    </row>
    <row r="7" spans="1:11">
      <c r="A7" t="s">
        <v>5</v>
      </c>
      <c r="B7">
        <f>ASINH(B1)</f>
        <v>1.4436354751788103</v>
      </c>
    </row>
    <row r="8" spans="1:11">
      <c r="A8" t="s">
        <v>6</v>
      </c>
      <c r="B8">
        <f>ATAN(B1)</f>
        <v>1.1071487177940904</v>
      </c>
    </row>
    <row r="9" spans="1:11">
      <c r="A9" t="s">
        <v>7</v>
      </c>
      <c r="B9">
        <f>ATAN2(A1,B1)</f>
        <v>1.1071487177940904</v>
      </c>
    </row>
    <row r="10" spans="1:11">
      <c r="A10" t="s">
        <v>8</v>
      </c>
      <c r="B10">
        <f>ATANH(1/B1)</f>
        <v>0.54930614433405489</v>
      </c>
    </row>
    <row r="11" spans="1:11">
      <c r="A11" t="s">
        <v>9</v>
      </c>
      <c r="B11">
        <f>CEILING(B1,C1)</f>
        <v>3</v>
      </c>
    </row>
    <row r="12" spans="1:11">
      <c r="A12" t="s">
        <v>10</v>
      </c>
      <c r="B12">
        <f>_xlfn.CEILING.PRECISE(B1,C1)</f>
        <v>3</v>
      </c>
    </row>
    <row r="13" spans="1:11">
      <c r="A13" t="s">
        <v>11</v>
      </c>
      <c r="B13">
        <f>COMBIN(D1,C1)</f>
        <v>4</v>
      </c>
    </row>
    <row r="14" spans="1:11">
      <c r="A14" t="s">
        <v>12</v>
      </c>
      <c r="B14">
        <f>COS(B1)</f>
        <v>-0.41614683654714241</v>
      </c>
    </row>
    <row r="15" spans="1:11">
      <c r="A15" t="s">
        <v>13</v>
      </c>
      <c r="B15">
        <f>COSH(B1)</f>
        <v>3.7621956910836314</v>
      </c>
    </row>
    <row r="16" spans="1:11">
      <c r="A16" t="s">
        <v>14</v>
      </c>
      <c r="B16">
        <f>DEGREES(B1)</f>
        <v>114.59155902616465</v>
      </c>
    </row>
    <row r="17" spans="1:6">
      <c r="A17" t="s">
        <v>462</v>
      </c>
      <c r="B17">
        <f>ECMA.CEILING(B2,2)</f>
        <v>2</v>
      </c>
      <c r="F17" t="s">
        <v>468</v>
      </c>
    </row>
    <row r="18" spans="1:6">
      <c r="A18" t="s">
        <v>15</v>
      </c>
      <c r="B18">
        <f>EVEN(B1)</f>
        <v>2</v>
      </c>
    </row>
    <row r="19" spans="1:6">
      <c r="A19" t="s">
        <v>16</v>
      </c>
      <c r="B19">
        <f>EXP(B1)</f>
        <v>7.3890560989306504</v>
      </c>
    </row>
    <row r="20" spans="1:6">
      <c r="A20" t="s">
        <v>17</v>
      </c>
      <c r="B20">
        <f>FACT(B1)</f>
        <v>2</v>
      </c>
    </row>
    <row r="21" spans="1:6">
      <c r="A21" t="s">
        <v>18</v>
      </c>
      <c r="B21">
        <f>FACTDOUBLE(E1)</f>
        <v>15</v>
      </c>
      <c r="F21" t="s">
        <v>469</v>
      </c>
    </row>
    <row r="22" spans="1:6">
      <c r="A22" t="s">
        <v>19</v>
      </c>
      <c r="B22">
        <f>FLOOR(B1,C1)</f>
        <v>0</v>
      </c>
    </row>
    <row r="23" spans="1:6">
      <c r="A23" t="s">
        <v>20</v>
      </c>
      <c r="B23">
        <f>_xlfn.FLOOR.PRECISE(B1,C1)</f>
        <v>0</v>
      </c>
    </row>
    <row r="24" spans="1:6">
      <c r="A24" t="s">
        <v>280</v>
      </c>
      <c r="B24">
        <f>GAMMALN(C24)</f>
        <v>3.1780538303479458</v>
      </c>
      <c r="C24">
        <v>5</v>
      </c>
      <c r="F24" t="s">
        <v>510</v>
      </c>
    </row>
    <row r="25" spans="1:6">
      <c r="A25" t="s">
        <v>281</v>
      </c>
      <c r="B25">
        <f>_xlfn.GAMMALN.PRECISE(C24)</f>
        <v>3.1780538303479458</v>
      </c>
      <c r="F25" t="s">
        <v>510</v>
      </c>
    </row>
    <row r="26" spans="1:6">
      <c r="A26" t="s">
        <v>21</v>
      </c>
      <c r="B26">
        <f>GCD(F1,J1)</f>
        <v>2</v>
      </c>
    </row>
    <row r="27" spans="1:6">
      <c r="A27" t="s">
        <v>22</v>
      </c>
      <c r="B27">
        <f>INT(B1)</f>
        <v>2</v>
      </c>
    </row>
    <row r="28" spans="1:6">
      <c r="A28" t="s">
        <v>23</v>
      </c>
      <c r="B28">
        <f>ISO.CEILING(F1)</f>
        <v>6</v>
      </c>
    </row>
    <row r="29" spans="1:6">
      <c r="A29" t="s">
        <v>24</v>
      </c>
      <c r="B29">
        <f>LCM(F1,I1)</f>
        <v>18</v>
      </c>
    </row>
    <row r="30" spans="1:6">
      <c r="A30" t="s">
        <v>25</v>
      </c>
      <c r="B30">
        <f>LN(I1)</f>
        <v>2.1972245773362196</v>
      </c>
    </row>
    <row r="31" spans="1:6">
      <c r="A31" t="s">
        <v>26</v>
      </c>
      <c r="B31">
        <f>LOG(J1)</f>
        <v>1</v>
      </c>
    </row>
    <row r="32" spans="1:6">
      <c r="A32" t="s">
        <v>27</v>
      </c>
      <c r="B32">
        <f>LOG10(E1)</f>
        <v>0.69897000433601886</v>
      </c>
    </row>
    <row r="33" spans="1:6">
      <c r="A33" t="s">
        <v>28</v>
      </c>
      <c r="B33">
        <f>MDETERM(C1:D2)</f>
        <v>-2.0000000000000018</v>
      </c>
    </row>
    <row r="34" spans="1:6">
      <c r="A34" t="s">
        <v>29</v>
      </c>
      <c r="B34">
        <f>MINVERSE(C1:D2)</f>
        <v>-2.9999999999999973</v>
      </c>
    </row>
    <row r="35" spans="1:6">
      <c r="A35" t="s">
        <v>30</v>
      </c>
      <c r="B35">
        <f>MMULT(C1:D2,E1:F2)</f>
        <v>43</v>
      </c>
    </row>
    <row r="36" spans="1:6">
      <c r="A36" t="s">
        <v>31</v>
      </c>
      <c r="B36">
        <f>MOD(E2,E1)</f>
        <v>2</v>
      </c>
    </row>
    <row r="37" spans="1:6">
      <c r="A37" t="s">
        <v>32</v>
      </c>
      <c r="B37">
        <f>MROUND(C1,D1)</f>
        <v>4</v>
      </c>
    </row>
    <row r="38" spans="1:6">
      <c r="A38" t="s">
        <v>33</v>
      </c>
      <c r="B38">
        <f>MULTINOMIAL(J1,E1,C1)</f>
        <v>2450448</v>
      </c>
    </row>
    <row r="39" spans="1:6">
      <c r="A39" t="s">
        <v>34</v>
      </c>
      <c r="B39">
        <f>ODD(F1)</f>
        <v>7</v>
      </c>
    </row>
    <row r="40" spans="1:6">
      <c r="A40" t="s">
        <v>321</v>
      </c>
      <c r="B40">
        <f>PERMUT(F2,E1)</f>
        <v>6720</v>
      </c>
      <c r="F40" t="s">
        <v>510</v>
      </c>
    </row>
    <row r="41" spans="1:6">
      <c r="A41" t="s">
        <v>35</v>
      </c>
      <c r="B41">
        <f>PI()</f>
        <v>3.1415926535897931</v>
      </c>
    </row>
    <row r="42" spans="1:6">
      <c r="A42" t="s">
        <v>36</v>
      </c>
      <c r="B42">
        <f>POWER(C1,D1)</f>
        <v>81</v>
      </c>
    </row>
    <row r="43" spans="1:6">
      <c r="A43" t="s">
        <v>37</v>
      </c>
      <c r="B43">
        <f>PRODUCT(C1,D1,E1)</f>
        <v>60</v>
      </c>
    </row>
    <row r="44" spans="1:6">
      <c r="A44" t="s">
        <v>38</v>
      </c>
      <c r="B44">
        <f>QUOTIENT(E2,C1)</f>
        <v>2</v>
      </c>
    </row>
    <row r="45" spans="1:6">
      <c r="A45" t="s">
        <v>39</v>
      </c>
      <c r="B45">
        <f>RADIANS(E1)</f>
        <v>8.7266462599716474E-2</v>
      </c>
    </row>
    <row r="46" spans="1:6">
      <c r="A46" t="s">
        <v>40</v>
      </c>
      <c r="B46">
        <f ca="1">RAND()</f>
        <v>0.16104002347522117</v>
      </c>
    </row>
    <row r="47" spans="1:6">
      <c r="A47" t="s">
        <v>41</v>
      </c>
      <c r="B47">
        <f ca="1">RANDBETWEEN(D1,E2)</f>
        <v>5</v>
      </c>
    </row>
    <row r="48" spans="1:6">
      <c r="A48" t="s">
        <v>42</v>
      </c>
      <c r="B48" t="str">
        <f>ROMAN(B1)</f>
        <v>II</v>
      </c>
      <c r="C48" t="str">
        <f>ROMAN(B1,C1)</f>
        <v>II</v>
      </c>
    </row>
    <row r="49" spans="1:6">
      <c r="A49" t="s">
        <v>43</v>
      </c>
      <c r="B49">
        <f>ROUND(E1,D2)</f>
        <v>5</v>
      </c>
    </row>
    <row r="50" spans="1:6">
      <c r="A50" t="s">
        <v>44</v>
      </c>
      <c r="B50">
        <f>ROUNDDOWN(F1,H1)</f>
        <v>6</v>
      </c>
    </row>
    <row r="51" spans="1:6">
      <c r="A51" t="s">
        <v>45</v>
      </c>
      <c r="B51">
        <f>ROUNDUP(C1,B2)</f>
        <v>3</v>
      </c>
    </row>
    <row r="52" spans="1:6">
      <c r="A52" t="s">
        <v>46</v>
      </c>
      <c r="B52">
        <f>SERIESSUM(C1,C2,D2,D1:K1)</f>
        <v>2.928421387459129E+23</v>
      </c>
    </row>
    <row r="53" spans="1:6">
      <c r="A53" t="s">
        <v>47</v>
      </c>
      <c r="B53">
        <f>SIGN(D2)</f>
        <v>1</v>
      </c>
    </row>
    <row r="54" spans="1:6">
      <c r="A54" t="s">
        <v>48</v>
      </c>
      <c r="B54">
        <f>SIN(E1)</f>
        <v>-0.95892427466313845</v>
      </c>
    </row>
    <row r="55" spans="1:6">
      <c r="A55" t="s">
        <v>49</v>
      </c>
      <c r="B55">
        <f>SINH(D2)</f>
        <v>201.71315737027922</v>
      </c>
    </row>
    <row r="56" spans="1:6">
      <c r="A56" t="s">
        <v>50</v>
      </c>
      <c r="B56">
        <f>SQRT(C1)</f>
        <v>1.7320508075688772</v>
      </c>
    </row>
    <row r="57" spans="1:6">
      <c r="A57" t="s">
        <v>51</v>
      </c>
      <c r="B57">
        <f>SQRTPI(B2)</f>
        <v>2.5066282746310002</v>
      </c>
    </row>
    <row r="58" spans="1:6">
      <c r="A58" t="s">
        <v>335</v>
      </c>
      <c r="B58">
        <f>STANDARDIZE(C58,D58,E58)</f>
        <v>0.2</v>
      </c>
      <c r="C58">
        <v>3</v>
      </c>
      <c r="D58">
        <v>2</v>
      </c>
      <c r="E58">
        <v>5</v>
      </c>
      <c r="F58" t="s">
        <v>510</v>
      </c>
    </row>
    <row r="59" spans="1:6">
      <c r="A59" t="s">
        <v>52</v>
      </c>
      <c r="B59">
        <f>SUBTOTAL(A1,B1,C1:K1)</f>
        <v>6.5</v>
      </c>
    </row>
    <row r="60" spans="1:6">
      <c r="A60" t="s">
        <v>53</v>
      </c>
      <c r="B60">
        <f>SUM(B1)</f>
        <v>2</v>
      </c>
      <c r="C60">
        <f>SUM(B1:K1)</f>
        <v>65</v>
      </c>
      <c r="D60">
        <f>SUM(B1:K1,B2:F2)</f>
        <v>93</v>
      </c>
    </row>
    <row r="61" spans="1:6">
      <c r="A61" t="s">
        <v>54</v>
      </c>
      <c r="B61">
        <f>SUMIF(C1:C2,"&gt;3")</f>
        <v>5</v>
      </c>
      <c r="C61">
        <f>SUMIF(C1:C2,"&gt;3",D1:D2)</f>
        <v>6</v>
      </c>
    </row>
    <row r="62" spans="1:6">
      <c r="A62" t="s">
        <v>55</v>
      </c>
      <c r="B62">
        <f>SUMIFS(C1:C2,D1:D2,"&gt;0",E1:E2,"&lt;7")</f>
        <v>3</v>
      </c>
    </row>
    <row r="63" spans="1:6">
      <c r="A63" t="s">
        <v>56</v>
      </c>
      <c r="B63">
        <f>SUMPRODUCT(C1:K1)</f>
        <v>63</v>
      </c>
      <c r="C63">
        <f>SUMPRODUCT(C1:F1,C2:F2)</f>
        <v>122</v>
      </c>
    </row>
    <row r="64" spans="1:6">
      <c r="A64" t="s">
        <v>57</v>
      </c>
      <c r="B64">
        <f>SUMSQ(C1,D2)</f>
        <v>45</v>
      </c>
      <c r="C64">
        <f>SUMSQ(D2,E1,F2)</f>
        <v>125</v>
      </c>
    </row>
    <row r="65" spans="1:2">
      <c r="A65" t="s">
        <v>58</v>
      </c>
      <c r="B65">
        <f>SUMX2MY2(C1:F1,C2:F2)</f>
        <v>-88</v>
      </c>
    </row>
    <row r="66" spans="1:2">
      <c r="A66" t="s">
        <v>59</v>
      </c>
      <c r="B66">
        <f>SUMX2PY2(C1:F1,C2:F2)</f>
        <v>260</v>
      </c>
    </row>
    <row r="67" spans="1:2">
      <c r="A67" t="s">
        <v>60</v>
      </c>
      <c r="B67">
        <f>SUMXMY2(C1:F1,C2:F2)</f>
        <v>16</v>
      </c>
    </row>
    <row r="68" spans="1:2">
      <c r="A68" t="s">
        <v>61</v>
      </c>
      <c r="B68">
        <f>TAN(C2)</f>
        <v>-3.3805150062465859</v>
      </c>
    </row>
    <row r="69" spans="1:2">
      <c r="A69" t="s">
        <v>62</v>
      </c>
      <c r="B69">
        <f>TANH(C1)</f>
        <v>0.99505475368673058</v>
      </c>
    </row>
    <row r="70" spans="1:2">
      <c r="A70" t="s">
        <v>63</v>
      </c>
      <c r="B70">
        <f>TRUNC(C1,F2)</f>
        <v>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topLeftCell="A104" workbookViewId="0">
      <selection activeCell="F134" sqref="F134"/>
    </sheetView>
  </sheetViews>
  <sheetFormatPr baseColWidth="10" defaultRowHeight="15" x14ac:dyDescent="0"/>
  <cols>
    <col min="1" max="1" width="18" bestFit="1" customWidth="1"/>
    <col min="2" max="2" width="12.1640625" bestFit="1" customWidth="1"/>
  </cols>
  <sheetData>
    <row r="1" spans="1:6">
      <c r="A1" t="s">
        <v>505</v>
      </c>
    </row>
    <row r="2" spans="1:6">
      <c r="A2" t="s">
        <v>233</v>
      </c>
      <c r="B2">
        <f>_xlfn.BETA.DIST(C2,D2,E2,F2)</f>
        <v>1.5</v>
      </c>
      <c r="C2">
        <v>0.5</v>
      </c>
      <c r="D2">
        <v>2</v>
      </c>
      <c r="E2">
        <v>2</v>
      </c>
      <c r="F2" t="b">
        <v>0</v>
      </c>
    </row>
    <row r="3" spans="1:6">
      <c r="A3" t="s">
        <v>234</v>
      </c>
      <c r="B3">
        <f>_xlfn.BETA.INV(C3,D3,E3)</f>
        <v>0.5</v>
      </c>
      <c r="C3">
        <v>0.5</v>
      </c>
      <c r="D3">
        <v>2</v>
      </c>
      <c r="E3">
        <v>2</v>
      </c>
    </row>
    <row r="4" spans="1:6">
      <c r="A4" t="s">
        <v>235</v>
      </c>
      <c r="B4">
        <f>BETADIST(C4,D4,E4)</f>
        <v>0.5</v>
      </c>
      <c r="C4">
        <v>0.5</v>
      </c>
      <c r="D4">
        <v>2</v>
      </c>
      <c r="E4">
        <v>2</v>
      </c>
    </row>
    <row r="5" spans="1:6">
      <c r="A5" t="s">
        <v>236</v>
      </c>
      <c r="B5">
        <f>BETAINV(C5,D5,E5)</f>
        <v>0.5</v>
      </c>
      <c r="C5">
        <v>0.5</v>
      </c>
      <c r="D5">
        <v>2</v>
      </c>
      <c r="E5">
        <v>2</v>
      </c>
    </row>
    <row r="6" spans="1:6">
      <c r="A6" t="s">
        <v>237</v>
      </c>
      <c r="B6">
        <f>_xlfn.BINOM.DIST(C6,D6,E6,F6)</f>
        <v>0.95265101260000007</v>
      </c>
      <c r="C6">
        <v>5</v>
      </c>
      <c r="D6">
        <v>10</v>
      </c>
      <c r="E6">
        <v>0.3</v>
      </c>
      <c r="F6" t="b">
        <v>1</v>
      </c>
    </row>
    <row r="7" spans="1:6">
      <c r="A7" t="s">
        <v>238</v>
      </c>
      <c r="B7">
        <f>_xlfn.BINOM.INV(C7,D7,E7)</f>
        <v>7</v>
      </c>
      <c r="C7">
        <v>20</v>
      </c>
      <c r="D7">
        <v>0.5</v>
      </c>
      <c r="E7">
        <v>0.1</v>
      </c>
      <c r="F7" t="b">
        <v>1</v>
      </c>
    </row>
    <row r="8" spans="1:6">
      <c r="A8" t="s">
        <v>239</v>
      </c>
      <c r="B8">
        <f>BINOMDIST(C8,D8,E8,F8)</f>
        <v>0.10291934520000003</v>
      </c>
      <c r="C8">
        <v>5</v>
      </c>
      <c r="D8">
        <v>10</v>
      </c>
      <c r="E8">
        <v>0.3</v>
      </c>
      <c r="F8" t="b">
        <v>0</v>
      </c>
    </row>
    <row r="9" spans="1:6">
      <c r="A9" t="s">
        <v>240</v>
      </c>
      <c r="B9">
        <f>CHIDIST(C9,D9)</f>
        <v>0.65996322969428256</v>
      </c>
      <c r="C9">
        <v>5</v>
      </c>
      <c r="D9">
        <v>7</v>
      </c>
    </row>
    <row r="10" spans="1:6">
      <c r="A10" t="s">
        <v>241</v>
      </c>
      <c r="B10">
        <f>CHIINV(B9,D9)</f>
        <v>5</v>
      </c>
    </row>
    <row r="11" spans="1:6">
      <c r="A11" t="s">
        <v>242</v>
      </c>
      <c r="B11">
        <f>_xlfn.CHISQ.DIST(C11,D11,E11)</f>
        <v>0.34003677030571738</v>
      </c>
      <c r="C11">
        <v>5</v>
      </c>
      <c r="D11">
        <v>7</v>
      </c>
      <c r="E11" t="b">
        <v>1</v>
      </c>
    </row>
    <row r="12" spans="1:6">
      <c r="A12" t="s">
        <v>243</v>
      </c>
      <c r="B12">
        <f>_xlfn.CHISQ.DIST.RT(C11,D11)</f>
        <v>0.65996322969428256</v>
      </c>
    </row>
    <row r="13" spans="1:6">
      <c r="A13" t="s">
        <v>244</v>
      </c>
      <c r="B13">
        <f>_xlfn.CHISQ.INV(B11,D11)</f>
        <v>5</v>
      </c>
    </row>
    <row r="14" spans="1:6">
      <c r="A14" t="s">
        <v>245</v>
      </c>
      <c r="B14">
        <f>_xlfn.CHISQ.INV.RT(B12,D11)</f>
        <v>5</v>
      </c>
    </row>
    <row r="15" spans="1:6">
      <c r="A15" t="s">
        <v>248</v>
      </c>
      <c r="B15">
        <f>CONFIDENCE(C15,D15,E15)</f>
        <v>0.10364333894937899</v>
      </c>
      <c r="C15">
        <v>0.3</v>
      </c>
      <c r="D15">
        <v>1</v>
      </c>
      <c r="E15">
        <v>100</v>
      </c>
    </row>
    <row r="16" spans="1:6">
      <c r="A16" t="s">
        <v>249</v>
      </c>
      <c r="B16">
        <f>_xlfn.CONFIDENCE.NORM(C16,D16,E16)</f>
        <v>0.10364333894937899</v>
      </c>
      <c r="C16">
        <v>0.3</v>
      </c>
      <c r="D16">
        <v>1</v>
      </c>
      <c r="E16">
        <v>100</v>
      </c>
    </row>
    <row r="17" spans="1:6">
      <c r="A17" t="s">
        <v>250</v>
      </c>
      <c r="B17">
        <f>_xlfn.CONFIDENCE.T(C17,D17,E17)</f>
        <v>0.10418907592517826</v>
      </c>
      <c r="C17">
        <v>0.3</v>
      </c>
      <c r="D17">
        <v>1</v>
      </c>
      <c r="E17">
        <v>100</v>
      </c>
    </row>
    <row r="18" spans="1:6">
      <c r="A18" t="s">
        <v>260</v>
      </c>
      <c r="B18">
        <f>CRITBINOM(C18,D18,E18)</f>
        <v>64</v>
      </c>
      <c r="C18">
        <v>120</v>
      </c>
      <c r="D18">
        <v>0.5</v>
      </c>
      <c r="E18">
        <v>0.75</v>
      </c>
    </row>
    <row r="19" spans="1:6">
      <c r="A19" t="s">
        <v>262</v>
      </c>
      <c r="B19">
        <f>_xlfn.EXPON.DIST(C19,D19,E19)</f>
        <v>0.8646647167633873</v>
      </c>
      <c r="C19">
        <v>1</v>
      </c>
      <c r="D19">
        <v>2</v>
      </c>
      <c r="E19" t="b">
        <v>1</v>
      </c>
    </row>
    <row r="20" spans="1:6">
      <c r="A20" t="s">
        <v>263</v>
      </c>
      <c r="B20">
        <f>EXPONDIST(C20,D20,E20)</f>
        <v>0.2706705664732254</v>
      </c>
      <c r="C20">
        <v>1</v>
      </c>
      <c r="D20">
        <v>2</v>
      </c>
      <c r="E20" t="b">
        <v>0</v>
      </c>
    </row>
    <row r="21" spans="1:6">
      <c r="A21" t="s">
        <v>264</v>
      </c>
      <c r="B21">
        <f>_xlfn.F.DIST(C21,D21,E21,F21)</f>
        <v>0.53524199845511</v>
      </c>
      <c r="C21">
        <v>1</v>
      </c>
      <c r="D21">
        <v>2</v>
      </c>
      <c r="E21">
        <v>3</v>
      </c>
      <c r="F21" t="b">
        <v>1</v>
      </c>
    </row>
    <row r="22" spans="1:6">
      <c r="A22" t="s">
        <v>265</v>
      </c>
      <c r="B22">
        <f>_xlfn.F.DIST.RT(C21,D21,E21)</f>
        <v>0.46475800154489</v>
      </c>
    </row>
    <row r="23" spans="1:6">
      <c r="A23" t="s">
        <v>266</v>
      </c>
      <c r="B23">
        <f>_xlfn.F.INV(B21,D21,E21)</f>
        <v>1.0000000000000002</v>
      </c>
    </row>
    <row r="24" spans="1:6">
      <c r="A24" t="s">
        <v>267</v>
      </c>
      <c r="B24">
        <f>_xlfn.F.INV.RT(B22,D21,E21)</f>
        <v>1.0000000000000002</v>
      </c>
    </row>
    <row r="25" spans="1:6">
      <c r="A25" t="s">
        <v>269</v>
      </c>
      <c r="B25">
        <f>FDIST(C25,D25,E25)</f>
        <v>0.17355371900826444</v>
      </c>
      <c r="C25">
        <v>5</v>
      </c>
      <c r="D25">
        <v>4</v>
      </c>
      <c r="E25">
        <v>2</v>
      </c>
    </row>
    <row r="26" spans="1:6">
      <c r="A26" t="s">
        <v>270</v>
      </c>
      <c r="B26">
        <f>FINV(B25,D25,E25)</f>
        <v>5.0000000000000009</v>
      </c>
    </row>
    <row r="27" spans="1:6">
      <c r="A27" t="s">
        <v>271</v>
      </c>
      <c r="B27">
        <f>FISHER(C27)</f>
        <v>0.54930614433405489</v>
      </c>
      <c r="C27">
        <v>0.5</v>
      </c>
    </row>
    <row r="28" spans="1:6">
      <c r="A28" t="s">
        <v>272</v>
      </c>
      <c r="B28">
        <f>FISHERINV(B27)</f>
        <v>0.50000000000000011</v>
      </c>
    </row>
    <row r="29" spans="1:6">
      <c r="A29" t="s">
        <v>276</v>
      </c>
      <c r="B29">
        <f>_xlfn.GAMMA.DIST(C29,D29,E29,F29)</f>
        <v>0.38494001106330422</v>
      </c>
      <c r="C29">
        <v>4</v>
      </c>
      <c r="D29">
        <v>2</v>
      </c>
      <c r="E29">
        <v>3</v>
      </c>
      <c r="F29" t="b">
        <v>1</v>
      </c>
    </row>
    <row r="30" spans="1:6">
      <c r="A30" t="s">
        <v>277</v>
      </c>
      <c r="B30">
        <f>_xlfn.GAMMA.INV(B29,D29,E29)</f>
        <v>3.9999999999999991</v>
      </c>
    </row>
    <row r="31" spans="1:6">
      <c r="A31" t="s">
        <v>278</v>
      </c>
      <c r="B31">
        <f>GAMMADIST(C29,D29,E29,F29)</f>
        <v>0.38494001106330422</v>
      </c>
    </row>
    <row r="32" spans="1:6">
      <c r="A32" t="s">
        <v>279</v>
      </c>
      <c r="B32">
        <f>GAMMAINV(B31,D29,E29)</f>
        <v>3.9999999999999991</v>
      </c>
    </row>
    <row r="33" spans="1:7">
      <c r="A33" t="s">
        <v>285</v>
      </c>
      <c r="B33">
        <f>_xlfn.HYPGEOM.DIST(C33,D33,E33,F33,G33)</f>
        <v>0.41666666666666635</v>
      </c>
      <c r="C33">
        <v>1</v>
      </c>
      <c r="D33">
        <v>2</v>
      </c>
      <c r="E33">
        <v>7</v>
      </c>
      <c r="F33">
        <v>9</v>
      </c>
      <c r="G33">
        <v>5</v>
      </c>
    </row>
    <row r="34" spans="1:7">
      <c r="A34" t="s">
        <v>286</v>
      </c>
      <c r="B34">
        <f>HYPGEOMDIST(C34,D34,E34,F34)</f>
        <v>0.5357142857142857</v>
      </c>
      <c r="C34">
        <v>2</v>
      </c>
      <c r="D34">
        <v>3</v>
      </c>
      <c r="E34">
        <v>6</v>
      </c>
      <c r="F34">
        <v>8</v>
      </c>
    </row>
    <row r="35" spans="1:7">
      <c r="A35" t="s">
        <v>292</v>
      </c>
      <c r="B35">
        <f>LOGINV(C35,D35,E35)</f>
        <v>148.4131591025766</v>
      </c>
      <c r="C35">
        <v>0.5</v>
      </c>
      <c r="D35">
        <v>5</v>
      </c>
      <c r="E35">
        <v>5</v>
      </c>
    </row>
    <row r="36" spans="1:7">
      <c r="A36" t="s">
        <v>293</v>
      </c>
      <c r="B36">
        <f>_xlfn.LOGNORM.DIST(C36,D36,E36,F36)</f>
        <v>0.34457825838967576</v>
      </c>
      <c r="C36">
        <v>1</v>
      </c>
      <c r="D36">
        <v>2</v>
      </c>
      <c r="E36">
        <v>5</v>
      </c>
      <c r="F36" t="b">
        <v>1</v>
      </c>
    </row>
    <row r="37" spans="1:7">
      <c r="A37" t="s">
        <v>294</v>
      </c>
      <c r="B37">
        <f>_xlfn.LOGNORM.INV(B36,D36,E36)</f>
        <v>0.99999999999999867</v>
      </c>
    </row>
    <row r="38" spans="1:7">
      <c r="A38" t="s">
        <v>295</v>
      </c>
      <c r="B38">
        <f>LOGNORMDIST(C36,D36,E36)</f>
        <v>0.34457825838967576</v>
      </c>
    </row>
    <row r="39" spans="1:7">
      <c r="A39" t="s">
        <v>304</v>
      </c>
      <c r="B39">
        <f>_xlfn.NEGBINOM.DIST(C39,D39,E39,F39)</f>
        <v>3.860084305800001E-2</v>
      </c>
      <c r="C39">
        <v>5</v>
      </c>
      <c r="D39">
        <v>7</v>
      </c>
      <c r="E39">
        <v>0.3</v>
      </c>
      <c r="F39" t="b">
        <v>1</v>
      </c>
    </row>
    <row r="40" spans="1:7">
      <c r="A40" t="s">
        <v>305</v>
      </c>
      <c r="B40">
        <f>NEGBINOMDIST(C39,D39,E39)</f>
        <v>1.6981691958000006E-2</v>
      </c>
      <c r="C40">
        <v>5</v>
      </c>
      <c r="D40">
        <v>7</v>
      </c>
      <c r="E40">
        <v>0.3</v>
      </c>
    </row>
    <row r="41" spans="1:7">
      <c r="A41" t="s">
        <v>306</v>
      </c>
      <c r="B41">
        <f>_xlfn.NORM.DIST(C41,D41,E41,F41)</f>
        <v>0.63055865981823644</v>
      </c>
      <c r="C41">
        <v>0</v>
      </c>
      <c r="D41">
        <v>-1</v>
      </c>
      <c r="E41">
        <v>3</v>
      </c>
      <c r="F41" t="b">
        <v>1</v>
      </c>
    </row>
    <row r="42" spans="1:7">
      <c r="A42" t="s">
        <v>307</v>
      </c>
      <c r="B42">
        <f>_xlfn.NORM.INV(B41,D41,E41)</f>
        <v>8.8817841970012523E-16</v>
      </c>
    </row>
    <row r="43" spans="1:7">
      <c r="A43" t="s">
        <v>308</v>
      </c>
      <c r="B43">
        <f>_xlfn.NORM.S.DIST(C43,D43)</f>
        <v>0.9986501019683699</v>
      </c>
      <c r="C43">
        <v>3</v>
      </c>
      <c r="D43" t="b">
        <v>1</v>
      </c>
    </row>
    <row r="44" spans="1:7">
      <c r="A44" t="s">
        <v>309</v>
      </c>
      <c r="B44">
        <f>_xlfn.NORM.S.INV(B43)</f>
        <v>2.9999999999999969</v>
      </c>
    </row>
    <row r="45" spans="1:7">
      <c r="A45" t="s">
        <v>310</v>
      </c>
      <c r="B45">
        <f>NORMDIST(C41,D41,E41,F41)</f>
        <v>0.63055865981823644</v>
      </c>
    </row>
    <row r="46" spans="1:7">
      <c r="A46" t="s">
        <v>311</v>
      </c>
      <c r="B46">
        <f>NORMINV(B45,D41,E41)</f>
        <v>8.8817841970012523E-16</v>
      </c>
    </row>
    <row r="47" spans="1:7">
      <c r="A47" t="s">
        <v>312</v>
      </c>
      <c r="B47">
        <f>NORMSDIST(C47)</f>
        <v>0.97724986805182079</v>
      </c>
      <c r="C47">
        <v>2</v>
      </c>
    </row>
    <row r="48" spans="1:7">
      <c r="A48" t="s">
        <v>313</v>
      </c>
      <c r="B48">
        <f>NORMSINV(B47)</f>
        <v>2</v>
      </c>
    </row>
    <row r="49" spans="1:10">
      <c r="A49" t="s">
        <v>322</v>
      </c>
      <c r="B49">
        <f>POISSON(C49,D49,E49)</f>
        <v>0.40600584970983811</v>
      </c>
      <c r="C49">
        <v>1</v>
      </c>
      <c r="D49">
        <v>2</v>
      </c>
      <c r="E49" t="b">
        <v>1</v>
      </c>
    </row>
    <row r="50" spans="1:10">
      <c r="A50" t="s">
        <v>323</v>
      </c>
      <c r="B50">
        <f>_xlfn.POISSON.DIST(C50,D50,E50)</f>
        <v>0.27067056647322535</v>
      </c>
      <c r="C50">
        <v>1</v>
      </c>
      <c r="D50">
        <v>2</v>
      </c>
      <c r="E50" t="b">
        <v>0</v>
      </c>
    </row>
    <row r="51" spans="1:10">
      <c r="A51" t="s">
        <v>343</v>
      </c>
      <c r="B51">
        <f>_xlfn.T.DIST(C51,D51,E51)</f>
        <v>0.99002893693400373</v>
      </c>
      <c r="C51">
        <v>3</v>
      </c>
      <c r="D51">
        <v>7</v>
      </c>
      <c r="E51" t="b">
        <v>1</v>
      </c>
    </row>
    <row r="52" spans="1:10">
      <c r="A52" t="s">
        <v>344</v>
      </c>
      <c r="B52">
        <f>_xlfn.T.DIST.2T(C51,D51)</f>
        <v>1.9942126131992539E-2</v>
      </c>
    </row>
    <row r="53" spans="1:10">
      <c r="A53" t="s">
        <v>345</v>
      </c>
      <c r="B53">
        <f>_xlfn.T.DIST.RT(C51,D51)</f>
        <v>9.9710630659962697E-3</v>
      </c>
    </row>
    <row r="54" spans="1:10">
      <c r="A54" t="s">
        <v>346</v>
      </c>
      <c r="B54">
        <f>_xlfn.T.INV(B51,D51)</f>
        <v>3</v>
      </c>
    </row>
    <row r="55" spans="1:10">
      <c r="A55" t="s">
        <v>347</v>
      </c>
      <c r="B55">
        <f>_xlfn.T.INV.2T(B52,D51)</f>
        <v>3</v>
      </c>
    </row>
    <row r="56" spans="1:10">
      <c r="A56" t="s">
        <v>349</v>
      </c>
      <c r="B56">
        <f>TDIST(C56,D56,E56)</f>
        <v>1.9942126131992539E-2</v>
      </c>
      <c r="C56">
        <v>3</v>
      </c>
      <c r="D56">
        <v>7</v>
      </c>
      <c r="E56">
        <v>2</v>
      </c>
    </row>
    <row r="57" spans="1:10">
      <c r="A57" t="s">
        <v>350</v>
      </c>
      <c r="B57">
        <f>TINV(B56,D56)</f>
        <v>3</v>
      </c>
    </row>
    <row r="58" spans="1:10">
      <c r="A58" t="s">
        <v>360</v>
      </c>
      <c r="B58">
        <f>WEIBULL(C58,D58,E58,F58)</f>
        <v>0.22119921692859512</v>
      </c>
      <c r="C58">
        <v>0.5</v>
      </c>
      <c r="D58">
        <v>2</v>
      </c>
      <c r="E58">
        <v>1</v>
      </c>
      <c r="F58" t="b">
        <v>1</v>
      </c>
    </row>
    <row r="59" spans="1:10">
      <c r="A59" t="s">
        <v>361</v>
      </c>
      <c r="B59">
        <f>_xlfn.WEIBULL.DIST(C59,D59,E59,F59)</f>
        <v>0.77880078307140488</v>
      </c>
      <c r="C59">
        <v>0.5</v>
      </c>
      <c r="D59">
        <v>2</v>
      </c>
      <c r="E59">
        <v>1</v>
      </c>
      <c r="F59" t="b">
        <v>0</v>
      </c>
    </row>
    <row r="61" spans="1:10">
      <c r="A61" t="s">
        <v>502</v>
      </c>
    </row>
    <row r="62" spans="1:10">
      <c r="A62" t="s">
        <v>228</v>
      </c>
      <c r="B62">
        <f>AVEDEV(C62:I62,J62,ROW(B62))</f>
        <v>31.78125</v>
      </c>
      <c r="C62">
        <v>1</v>
      </c>
      <c r="D62">
        <v>2</v>
      </c>
      <c r="E62">
        <v>4</v>
      </c>
      <c r="F62">
        <v>8</v>
      </c>
      <c r="G62">
        <v>16</v>
      </c>
      <c r="H62">
        <v>32</v>
      </c>
      <c r="I62" t="b">
        <v>1</v>
      </c>
      <c r="J62">
        <v>128</v>
      </c>
    </row>
    <row r="63" spans="1:10">
      <c r="A63" t="s">
        <v>229</v>
      </c>
      <c r="B63">
        <f>AVERAGE(C63:I63,J63,ROW(B63))</f>
        <v>31.75</v>
      </c>
      <c r="C63">
        <v>1</v>
      </c>
      <c r="D63">
        <v>2</v>
      </c>
      <c r="E63">
        <v>4</v>
      </c>
      <c r="F63">
        <v>8</v>
      </c>
      <c r="G63">
        <v>16</v>
      </c>
      <c r="H63">
        <v>32</v>
      </c>
      <c r="I63" t="b">
        <v>1</v>
      </c>
      <c r="J63">
        <v>128</v>
      </c>
    </row>
    <row r="64" spans="1:10">
      <c r="A64" t="s">
        <v>230</v>
      </c>
      <c r="B64">
        <f>AVERAGEA(C64:I64,J64,ROW(B64))</f>
        <v>28.444444444444443</v>
      </c>
      <c r="C64">
        <v>1</v>
      </c>
      <c r="D64">
        <v>2</v>
      </c>
      <c r="E64">
        <v>4</v>
      </c>
      <c r="F64">
        <v>8</v>
      </c>
      <c r="G64">
        <v>16</v>
      </c>
      <c r="H64">
        <v>32</v>
      </c>
      <c r="I64" t="b">
        <v>1</v>
      </c>
      <c r="J64">
        <v>128</v>
      </c>
    </row>
    <row r="65" spans="1:10">
      <c r="A65" t="s">
        <v>231</v>
      </c>
      <c r="B65">
        <f>AVERAGEIF(C65:I65,J65)</f>
        <v>3.75</v>
      </c>
      <c r="C65">
        <v>1</v>
      </c>
      <c r="D65">
        <v>2</v>
      </c>
      <c r="E65">
        <v>4</v>
      </c>
      <c r="F65">
        <v>8</v>
      </c>
      <c r="G65">
        <v>16</v>
      </c>
      <c r="H65">
        <v>32</v>
      </c>
      <c r="I65" t="b">
        <v>1</v>
      </c>
      <c r="J65" t="s">
        <v>503</v>
      </c>
    </row>
    <row r="66" spans="1:10">
      <c r="A66" t="s">
        <v>232</v>
      </c>
      <c r="B66">
        <f>AVERAGEIFS(C66:I66,C66:I66,"&gt;3",C66:I66,"&lt;20")</f>
        <v>9.3333333333333339</v>
      </c>
      <c r="C66">
        <v>1</v>
      </c>
      <c r="D66">
        <v>2</v>
      </c>
      <c r="E66">
        <v>4</v>
      </c>
      <c r="F66">
        <v>8</v>
      </c>
      <c r="G66">
        <v>16</v>
      </c>
      <c r="H66">
        <v>32</v>
      </c>
      <c r="I66" t="b">
        <v>1</v>
      </c>
      <c r="J66" t="s">
        <v>503</v>
      </c>
    </row>
    <row r="67" spans="1:10">
      <c r="A67" t="s">
        <v>251</v>
      </c>
      <c r="B67">
        <f>CORREL({2,1,3,4,7,11},C67:H67)</f>
        <v>0.98624138261245542</v>
      </c>
      <c r="C67">
        <v>1</v>
      </c>
      <c r="D67">
        <v>2</v>
      </c>
      <c r="E67">
        <v>3</v>
      </c>
      <c r="F67">
        <v>5</v>
      </c>
      <c r="G67">
        <v>8</v>
      </c>
      <c r="H67">
        <v>13</v>
      </c>
    </row>
    <row r="68" spans="1:10">
      <c r="A68" t="s">
        <v>252</v>
      </c>
      <c r="B68">
        <f>COUNT(C68:J68)</f>
        <v>6</v>
      </c>
      <c r="C68">
        <v>1</v>
      </c>
      <c r="D68">
        <v>2</v>
      </c>
      <c r="E68">
        <v>4</v>
      </c>
      <c r="F68">
        <v>8</v>
      </c>
      <c r="G68">
        <v>16</v>
      </c>
      <c r="H68">
        <v>32</v>
      </c>
      <c r="I68" t="b">
        <v>1</v>
      </c>
    </row>
    <row r="69" spans="1:10">
      <c r="A69" t="s">
        <v>253</v>
      </c>
      <c r="B69">
        <f>COUNTA(C69:J69)</f>
        <v>7</v>
      </c>
      <c r="C69">
        <v>1</v>
      </c>
      <c r="D69">
        <v>2</v>
      </c>
      <c r="E69">
        <v>4</v>
      </c>
      <c r="F69">
        <v>8</v>
      </c>
      <c r="G69">
        <v>16</v>
      </c>
      <c r="H69">
        <v>32</v>
      </c>
      <c r="I69" t="b">
        <v>1</v>
      </c>
    </row>
    <row r="70" spans="1:10">
      <c r="A70" t="s">
        <v>254</v>
      </c>
      <c r="B70">
        <f>COUNTBLANK(C70:J70)</f>
        <v>1</v>
      </c>
      <c r="C70">
        <v>1</v>
      </c>
      <c r="D70">
        <v>2</v>
      </c>
      <c r="E70">
        <v>4</v>
      </c>
      <c r="F70">
        <v>8</v>
      </c>
      <c r="G70">
        <v>16</v>
      </c>
      <c r="H70">
        <v>32</v>
      </c>
      <c r="I70" t="b">
        <v>1</v>
      </c>
    </row>
    <row r="71" spans="1:10">
      <c r="A71" t="s">
        <v>255</v>
      </c>
      <c r="B71">
        <f>COUNTIF(C71:I71,J71)</f>
        <v>2</v>
      </c>
      <c r="C71">
        <v>1</v>
      </c>
      <c r="D71">
        <v>2</v>
      </c>
      <c r="E71">
        <v>4</v>
      </c>
      <c r="F71">
        <v>8</v>
      </c>
      <c r="G71">
        <v>16</v>
      </c>
      <c r="H71">
        <v>32</v>
      </c>
      <c r="I71" t="b">
        <v>1</v>
      </c>
      <c r="J71" t="s">
        <v>431</v>
      </c>
    </row>
    <row r="72" spans="1:10">
      <c r="A72" t="s">
        <v>256</v>
      </c>
      <c r="B72">
        <f>COUNTIFS(C72:I72,J72,C72:I72,J71)</f>
        <v>1</v>
      </c>
      <c r="C72">
        <v>1</v>
      </c>
      <c r="D72">
        <v>2</v>
      </c>
      <c r="E72">
        <v>4</v>
      </c>
      <c r="F72">
        <v>8</v>
      </c>
      <c r="G72">
        <v>16</v>
      </c>
      <c r="H72">
        <v>32</v>
      </c>
      <c r="I72" t="b">
        <v>1</v>
      </c>
      <c r="J72" t="s">
        <v>504</v>
      </c>
    </row>
    <row r="73" spans="1:10">
      <c r="A73" t="s">
        <v>257</v>
      </c>
      <c r="B73">
        <f>COVAR(C73:H73,C74:H74)</f>
        <v>36.333333333333336</v>
      </c>
      <c r="C73">
        <v>1</v>
      </c>
      <c r="D73">
        <v>2</v>
      </c>
      <c r="E73">
        <v>4</v>
      </c>
      <c r="F73">
        <v>8</v>
      </c>
      <c r="G73">
        <v>16</v>
      </c>
      <c r="H73">
        <v>32</v>
      </c>
      <c r="I73" t="b">
        <v>1</v>
      </c>
    </row>
    <row r="74" spans="1:10">
      <c r="A74" t="s">
        <v>258</v>
      </c>
      <c r="B74">
        <f>_xlfn.COVARIANCE.P(C73:H73,C74:H74)</f>
        <v>36.333333333333336</v>
      </c>
      <c r="C74">
        <v>2</v>
      </c>
      <c r="D74">
        <v>1</v>
      </c>
      <c r="E74">
        <v>3</v>
      </c>
      <c r="F74">
        <v>4</v>
      </c>
      <c r="G74">
        <v>7</v>
      </c>
      <c r="H74">
        <v>11</v>
      </c>
      <c r="I74">
        <v>18</v>
      </c>
    </row>
    <row r="75" spans="1:10">
      <c r="A75" t="s">
        <v>259</v>
      </c>
      <c r="B75">
        <f>_xlfn.COVARIANCE.S(C73:H73,C74:H74)</f>
        <v>43.6</v>
      </c>
    </row>
    <row r="76" spans="1:10">
      <c r="A76" t="s">
        <v>261</v>
      </c>
      <c r="B76">
        <f>DEVSQ(C76:I76)</f>
        <v>703.5</v>
      </c>
      <c r="C76">
        <v>1</v>
      </c>
      <c r="D76">
        <v>2</v>
      </c>
      <c r="E76">
        <v>4</v>
      </c>
      <c r="F76">
        <v>8</v>
      </c>
      <c r="G76">
        <v>16</v>
      </c>
      <c r="H76">
        <v>32</v>
      </c>
      <c r="I76" t="b">
        <v>1</v>
      </c>
    </row>
    <row r="77" spans="1:10">
      <c r="A77" t="s">
        <v>282</v>
      </c>
      <c r="B77">
        <f>GEOMEAN(C77:I77)</f>
        <v>5.6568542494923797</v>
      </c>
      <c r="C77">
        <v>1</v>
      </c>
      <c r="D77">
        <v>2</v>
      </c>
      <c r="E77">
        <v>4</v>
      </c>
      <c r="F77">
        <v>8</v>
      </c>
      <c r="G77">
        <v>16</v>
      </c>
      <c r="H77">
        <v>32</v>
      </c>
      <c r="I77" t="b">
        <v>1</v>
      </c>
    </row>
    <row r="78" spans="1:10">
      <c r="A78" t="s">
        <v>284</v>
      </c>
      <c r="B78">
        <f>HARMEAN(C78:I78)</f>
        <v>3.0476190476190474</v>
      </c>
      <c r="C78">
        <v>1</v>
      </c>
      <c r="D78">
        <v>2</v>
      </c>
      <c r="E78">
        <v>4</v>
      </c>
      <c r="F78">
        <v>8</v>
      </c>
      <c r="G78">
        <v>16</v>
      </c>
      <c r="H78">
        <v>32</v>
      </c>
      <c r="I78" t="b">
        <v>1</v>
      </c>
    </row>
    <row r="79" spans="1:10">
      <c r="A79" t="s">
        <v>288</v>
      </c>
      <c r="B79">
        <f>KURT(C79:I79)</f>
        <v>1.8749535902576664</v>
      </c>
      <c r="C79">
        <v>1</v>
      </c>
      <c r="D79">
        <v>2</v>
      </c>
      <c r="E79">
        <v>4</v>
      </c>
      <c r="F79">
        <v>8</v>
      </c>
      <c r="G79">
        <v>16</v>
      </c>
      <c r="H79">
        <v>32</v>
      </c>
      <c r="I79" t="b">
        <v>1</v>
      </c>
    </row>
    <row r="80" spans="1:10">
      <c r="A80" t="s">
        <v>289</v>
      </c>
      <c r="B80">
        <f>LARGE(C80:H80,I80)</f>
        <v>8</v>
      </c>
      <c r="C80">
        <v>1</v>
      </c>
      <c r="D80">
        <v>2</v>
      </c>
      <c r="E80">
        <v>4</v>
      </c>
      <c r="F80">
        <v>8</v>
      </c>
      <c r="G80">
        <v>16</v>
      </c>
      <c r="H80">
        <v>32</v>
      </c>
      <c r="I80">
        <v>3</v>
      </c>
    </row>
    <row r="81" spans="1:9">
      <c r="A81" t="s">
        <v>296</v>
      </c>
      <c r="B81">
        <f>MAX(C81:H81,I81)</f>
        <v>32</v>
      </c>
      <c r="C81">
        <v>1</v>
      </c>
      <c r="D81">
        <v>2</v>
      </c>
      <c r="E81">
        <v>4</v>
      </c>
      <c r="F81">
        <v>8</v>
      </c>
      <c r="G81">
        <v>16</v>
      </c>
      <c r="H81">
        <v>32</v>
      </c>
      <c r="I81">
        <v>3</v>
      </c>
    </row>
    <row r="82" spans="1:9">
      <c r="A82" t="s">
        <v>297</v>
      </c>
      <c r="B82">
        <f>MAXA(C82:H82,I82)</f>
        <v>32</v>
      </c>
      <c r="C82">
        <v>1</v>
      </c>
      <c r="D82">
        <v>2</v>
      </c>
      <c r="E82">
        <v>4</v>
      </c>
      <c r="F82">
        <v>8</v>
      </c>
      <c r="G82">
        <v>16</v>
      </c>
      <c r="H82">
        <v>32</v>
      </c>
      <c r="I82">
        <v>3</v>
      </c>
    </row>
    <row r="83" spans="1:9">
      <c r="A83" t="s">
        <v>298</v>
      </c>
      <c r="B83" s="17">
        <f>MEDIAN(C83:I83)</f>
        <v>4</v>
      </c>
      <c r="C83" s="17">
        <v>1</v>
      </c>
      <c r="D83" s="17">
        <v>2</v>
      </c>
      <c r="E83" s="17">
        <v>4</v>
      </c>
      <c r="F83" s="17">
        <v>8</v>
      </c>
      <c r="G83" s="17">
        <v>16</v>
      </c>
      <c r="H83" s="17">
        <v>32</v>
      </c>
      <c r="I83" s="17">
        <v>3</v>
      </c>
    </row>
    <row r="84" spans="1:9">
      <c r="A84" t="s">
        <v>299</v>
      </c>
      <c r="B84">
        <f>MIN(C84:I84)</f>
        <v>1</v>
      </c>
      <c r="C84" s="17">
        <v>1</v>
      </c>
      <c r="D84" s="17">
        <v>2</v>
      </c>
      <c r="E84" s="17">
        <v>4</v>
      </c>
      <c r="F84" s="17">
        <v>8</v>
      </c>
      <c r="G84" s="17">
        <v>16</v>
      </c>
      <c r="H84" s="17">
        <v>32</v>
      </c>
      <c r="I84" s="17">
        <v>3</v>
      </c>
    </row>
    <row r="85" spans="1:9">
      <c r="A85" t="s">
        <v>300</v>
      </c>
      <c r="B85">
        <f>MINA(C85:I85)</f>
        <v>1</v>
      </c>
      <c r="C85" s="17">
        <v>1</v>
      </c>
      <c r="D85" s="17">
        <v>2</v>
      </c>
      <c r="E85" s="17">
        <v>4</v>
      </c>
      <c r="F85" s="17">
        <v>8</v>
      </c>
      <c r="G85" s="17">
        <v>16</v>
      </c>
      <c r="H85" s="17">
        <v>32</v>
      </c>
      <c r="I85" s="17">
        <v>3</v>
      </c>
    </row>
    <row r="86" spans="1:9">
      <c r="A86" t="s">
        <v>301</v>
      </c>
      <c r="B86">
        <f>MODE(C86:I86)</f>
        <v>16</v>
      </c>
      <c r="C86" s="17">
        <v>1</v>
      </c>
      <c r="D86" s="17">
        <v>2</v>
      </c>
      <c r="E86" s="17">
        <v>4</v>
      </c>
      <c r="F86" s="17">
        <v>8</v>
      </c>
      <c r="G86" s="17">
        <v>16</v>
      </c>
      <c r="H86" s="17">
        <v>16</v>
      </c>
      <c r="I86" s="17">
        <v>3</v>
      </c>
    </row>
    <row r="87" spans="1:9">
      <c r="A87" t="s">
        <v>302</v>
      </c>
      <c r="B87">
        <f>_xlfn.MODE.MULT(C87:I87)</f>
        <v>8</v>
      </c>
      <c r="C87" s="17">
        <v>1</v>
      </c>
      <c r="D87" s="17">
        <v>2</v>
      </c>
      <c r="E87" s="17">
        <v>4</v>
      </c>
      <c r="F87" s="17">
        <v>8</v>
      </c>
      <c r="G87" s="17">
        <v>8</v>
      </c>
      <c r="H87" s="17">
        <v>32</v>
      </c>
      <c r="I87" s="17">
        <v>3</v>
      </c>
    </row>
    <row r="88" spans="1:9">
      <c r="A88" t="s">
        <v>303</v>
      </c>
      <c r="B88">
        <f>_xlfn.MODE.SNGL(1,2,3,4,3,2,1,2,1,2,2)</f>
        <v>2</v>
      </c>
    </row>
    <row r="89" spans="1:9">
      <c r="A89" t="s">
        <v>315</v>
      </c>
      <c r="B89">
        <f>PERCENTILE(C89:H89,I89)</f>
        <v>3</v>
      </c>
      <c r="C89">
        <v>1</v>
      </c>
      <c r="D89">
        <v>2</v>
      </c>
      <c r="E89">
        <v>4</v>
      </c>
      <c r="F89">
        <v>8</v>
      </c>
      <c r="G89">
        <v>16</v>
      </c>
      <c r="H89">
        <v>32</v>
      </c>
      <c r="I89">
        <v>0.3</v>
      </c>
    </row>
    <row r="90" spans="1:9">
      <c r="A90" t="s">
        <v>316</v>
      </c>
      <c r="B90">
        <f>_xlfn.PERCENTILE.EXC(C90:H90,I90)</f>
        <v>6</v>
      </c>
      <c r="C90">
        <v>1</v>
      </c>
      <c r="D90">
        <v>2</v>
      </c>
      <c r="E90">
        <v>4</v>
      </c>
      <c r="F90">
        <v>8</v>
      </c>
      <c r="G90">
        <v>16</v>
      </c>
      <c r="H90">
        <v>32</v>
      </c>
      <c r="I90">
        <v>0.5</v>
      </c>
    </row>
    <row r="91" spans="1:9">
      <c r="A91" t="s">
        <v>317</v>
      </c>
      <c r="B91">
        <f>_xlfn.PERCENTILE.INC(C91:H91,I91)</f>
        <v>12</v>
      </c>
      <c r="C91">
        <v>1</v>
      </c>
      <c r="D91">
        <v>2</v>
      </c>
      <c r="E91">
        <v>4</v>
      </c>
      <c r="F91">
        <v>8</v>
      </c>
      <c r="G91">
        <v>16</v>
      </c>
      <c r="H91">
        <v>32</v>
      </c>
      <c r="I91">
        <v>0.7</v>
      </c>
    </row>
    <row r="92" spans="1:9">
      <c r="A92" t="s">
        <v>318</v>
      </c>
      <c r="B92">
        <f>PERCENTRANK(C92:H92,I92)</f>
        <v>0.65</v>
      </c>
      <c r="C92">
        <v>1</v>
      </c>
      <c r="D92">
        <v>2</v>
      </c>
      <c r="E92">
        <v>4</v>
      </c>
      <c r="F92">
        <v>8</v>
      </c>
      <c r="G92">
        <v>16</v>
      </c>
      <c r="H92">
        <v>32</v>
      </c>
      <c r="I92">
        <v>10</v>
      </c>
    </row>
    <row r="93" spans="1:9">
      <c r="A93" t="s">
        <v>319</v>
      </c>
      <c r="B93">
        <f>_xlfn.PERCENTRANK.EXC(C93:H93,I93)</f>
        <v>0.75</v>
      </c>
      <c r="C93">
        <v>1</v>
      </c>
      <c r="D93">
        <v>2</v>
      </c>
      <c r="E93">
        <v>4</v>
      </c>
      <c r="F93">
        <v>8</v>
      </c>
      <c r="G93">
        <v>16</v>
      </c>
      <c r="H93">
        <v>32</v>
      </c>
      <c r="I93">
        <v>20</v>
      </c>
    </row>
    <row r="94" spans="1:9">
      <c r="A94" t="s">
        <v>320</v>
      </c>
      <c r="B94">
        <f>_xlfn.PERCENTRANK.INC(C94:H94,I94)</f>
        <v>0.97499999999999998</v>
      </c>
      <c r="C94">
        <v>1</v>
      </c>
      <c r="D94">
        <v>2</v>
      </c>
      <c r="E94">
        <v>4</v>
      </c>
      <c r="F94">
        <v>8</v>
      </c>
      <c r="G94">
        <v>16</v>
      </c>
      <c r="H94">
        <v>32</v>
      </c>
      <c r="I94">
        <v>30</v>
      </c>
    </row>
    <row r="95" spans="1:9">
      <c r="A95" t="s">
        <v>325</v>
      </c>
      <c r="B95">
        <f>QUARTILE(C95:H95,I95)</f>
        <v>14</v>
      </c>
      <c r="C95">
        <v>1</v>
      </c>
      <c r="D95">
        <v>2</v>
      </c>
      <c r="E95">
        <v>4</v>
      </c>
      <c r="F95">
        <v>8</v>
      </c>
      <c r="G95">
        <v>16</v>
      </c>
      <c r="H95">
        <v>32</v>
      </c>
      <c r="I95">
        <v>3</v>
      </c>
    </row>
    <row r="96" spans="1:9">
      <c r="A96" t="s">
        <v>326</v>
      </c>
      <c r="B96">
        <f>_xlfn.QUARTILE.EXC(C96:H96,I96)</f>
        <v>6</v>
      </c>
      <c r="C96">
        <v>1</v>
      </c>
      <c r="D96">
        <v>2</v>
      </c>
      <c r="E96">
        <v>4</v>
      </c>
      <c r="F96">
        <v>8</v>
      </c>
      <c r="G96">
        <v>16</v>
      </c>
      <c r="H96">
        <v>32</v>
      </c>
      <c r="I96">
        <v>2</v>
      </c>
    </row>
    <row r="97" spans="1:9">
      <c r="A97" t="s">
        <v>327</v>
      </c>
      <c r="B97">
        <f>_xlfn.QUARTILE.INC(C97:H97,I97)</f>
        <v>2.5</v>
      </c>
      <c r="C97">
        <v>1</v>
      </c>
      <c r="D97">
        <v>2</v>
      </c>
      <c r="E97">
        <v>4</v>
      </c>
      <c r="F97">
        <v>8</v>
      </c>
      <c r="G97">
        <v>16</v>
      </c>
      <c r="H97">
        <v>32</v>
      </c>
      <c r="I97">
        <v>1</v>
      </c>
    </row>
    <row r="98" spans="1:9">
      <c r="A98" t="s">
        <v>328</v>
      </c>
      <c r="B98">
        <f>RANK(4,C98:H98)</f>
        <v>4</v>
      </c>
      <c r="C98">
        <v>1</v>
      </c>
      <c r="D98">
        <v>2</v>
      </c>
      <c r="E98">
        <v>4</v>
      </c>
      <c r="F98">
        <v>8</v>
      </c>
      <c r="G98">
        <v>16</v>
      </c>
      <c r="H98">
        <v>32</v>
      </c>
      <c r="I98" s="17" t="s">
        <v>506</v>
      </c>
    </row>
    <row r="99" spans="1:9">
      <c r="A99" t="s">
        <v>329</v>
      </c>
      <c r="B99">
        <f>_xlfn.RANK.AVG(4,C99:H99)</f>
        <v>4</v>
      </c>
      <c r="C99">
        <v>1</v>
      </c>
      <c r="D99">
        <v>2</v>
      </c>
      <c r="E99">
        <v>4</v>
      </c>
      <c r="F99">
        <v>8</v>
      </c>
      <c r="G99">
        <v>16</v>
      </c>
      <c r="H99">
        <v>32</v>
      </c>
      <c r="I99" t="s">
        <v>507</v>
      </c>
    </row>
    <row r="100" spans="1:9">
      <c r="A100" t="s">
        <v>330</v>
      </c>
      <c r="B100">
        <f>_xlfn.RANK.EQ(4,C100:H100)</f>
        <v>4</v>
      </c>
      <c r="C100">
        <v>1</v>
      </c>
      <c r="D100">
        <v>2</v>
      </c>
      <c r="E100">
        <v>4</v>
      </c>
      <c r="F100">
        <v>8</v>
      </c>
      <c r="G100">
        <v>16</v>
      </c>
      <c r="H100">
        <v>32</v>
      </c>
      <c r="I100" t="s">
        <v>508</v>
      </c>
    </row>
    <row r="101" spans="1:9">
      <c r="A101" t="s">
        <v>332</v>
      </c>
      <c r="B101">
        <f>SKEW(C101:H101)</f>
        <v>1.4996929578604361</v>
      </c>
      <c r="C101">
        <v>1</v>
      </c>
      <c r="D101">
        <v>2</v>
      </c>
      <c r="E101">
        <v>4</v>
      </c>
      <c r="F101">
        <v>8</v>
      </c>
      <c r="G101">
        <v>16</v>
      </c>
      <c r="H101">
        <v>32</v>
      </c>
    </row>
    <row r="102" spans="1:9">
      <c r="A102" t="s">
        <v>334</v>
      </c>
      <c r="B102">
        <f>SMALL(C102:H102,I102)</f>
        <v>4</v>
      </c>
      <c r="C102">
        <v>1</v>
      </c>
      <c r="D102">
        <v>2</v>
      </c>
      <c r="E102">
        <v>4</v>
      </c>
      <c r="F102">
        <v>8</v>
      </c>
      <c r="G102">
        <v>16</v>
      </c>
      <c r="H102">
        <v>32</v>
      </c>
      <c r="I102">
        <v>3</v>
      </c>
    </row>
    <row r="103" spans="1:9">
      <c r="A103" t="s">
        <v>336</v>
      </c>
      <c r="B103">
        <f>STDEV(C103:H103,I103)</f>
        <v>13.098527725337247</v>
      </c>
      <c r="C103">
        <v>1</v>
      </c>
      <c r="D103">
        <v>2</v>
      </c>
      <c r="E103">
        <v>4</v>
      </c>
      <c r="F103">
        <v>8</v>
      </c>
      <c r="G103">
        <v>16</v>
      </c>
      <c r="H103">
        <v>32</v>
      </c>
      <c r="I103">
        <v>30</v>
      </c>
    </row>
    <row r="104" spans="1:9">
      <c r="A104" t="s">
        <v>337</v>
      </c>
      <c r="B104">
        <f>_xlfn.STDEV.P(C104:H104,I104)</f>
        <v>12.126880245545262</v>
      </c>
      <c r="C104">
        <v>1</v>
      </c>
      <c r="D104">
        <v>2</v>
      </c>
      <c r="E104">
        <v>4</v>
      </c>
      <c r="F104">
        <v>8</v>
      </c>
      <c r="G104">
        <v>16</v>
      </c>
      <c r="H104">
        <v>32</v>
      </c>
      <c r="I104">
        <v>30</v>
      </c>
    </row>
    <row r="105" spans="1:9">
      <c r="A105" t="s">
        <v>338</v>
      </c>
      <c r="B105">
        <f>_xlfn.STDEV.S(C105:H105,I105)</f>
        <v>13.098527725337247</v>
      </c>
      <c r="C105">
        <v>1</v>
      </c>
      <c r="D105">
        <v>2</v>
      </c>
      <c r="E105">
        <v>4</v>
      </c>
      <c r="F105">
        <v>8</v>
      </c>
      <c r="G105">
        <v>16</v>
      </c>
      <c r="H105">
        <v>32</v>
      </c>
      <c r="I105">
        <v>30</v>
      </c>
    </row>
    <row r="106" spans="1:9">
      <c r="A106" t="s">
        <v>339</v>
      </c>
      <c r="B106">
        <f>STDEVA(C106:H106,I106)</f>
        <v>13.098527725337247</v>
      </c>
      <c r="C106">
        <v>1</v>
      </c>
      <c r="D106">
        <v>2</v>
      </c>
      <c r="E106">
        <v>4</v>
      </c>
      <c r="F106">
        <v>8</v>
      </c>
      <c r="G106">
        <v>16</v>
      </c>
      <c r="H106">
        <v>32</v>
      </c>
      <c r="I106">
        <v>30</v>
      </c>
    </row>
    <row r="107" spans="1:9">
      <c r="A107" t="s">
        <v>340</v>
      </c>
      <c r="B107">
        <f>STDEVP(C107:H107,I107)</f>
        <v>12.126880245545262</v>
      </c>
      <c r="C107">
        <v>1</v>
      </c>
      <c r="D107">
        <v>2</v>
      </c>
      <c r="E107">
        <v>4</v>
      </c>
      <c r="F107">
        <v>8</v>
      </c>
      <c r="G107">
        <v>16</v>
      </c>
      <c r="H107">
        <v>32</v>
      </c>
      <c r="I107">
        <v>30</v>
      </c>
    </row>
    <row r="108" spans="1:9">
      <c r="A108" t="s">
        <v>341</v>
      </c>
      <c r="B108">
        <f>STDEVPA(C108:H108,I108)</f>
        <v>12.126880245545262</v>
      </c>
      <c r="C108">
        <v>1</v>
      </c>
      <c r="D108">
        <v>2</v>
      </c>
      <c r="E108">
        <v>4</v>
      </c>
      <c r="F108">
        <v>8</v>
      </c>
      <c r="G108">
        <v>16</v>
      </c>
      <c r="H108">
        <v>32</v>
      </c>
      <c r="I108">
        <v>30</v>
      </c>
    </row>
    <row r="109" spans="1:9">
      <c r="A109" t="s">
        <v>352</v>
      </c>
    </row>
    <row r="110" spans="1:9">
      <c r="A110" t="s">
        <v>354</v>
      </c>
      <c r="B110">
        <f>VAR(C110:H110,I110)</f>
        <v>171.57142857142856</v>
      </c>
      <c r="C110">
        <v>1</v>
      </c>
      <c r="D110">
        <v>2</v>
      </c>
      <c r="E110">
        <v>4</v>
      </c>
      <c r="F110">
        <v>8</v>
      </c>
      <c r="G110">
        <v>16</v>
      </c>
      <c r="H110">
        <v>32</v>
      </c>
      <c r="I110">
        <v>30</v>
      </c>
    </row>
    <row r="111" spans="1:9">
      <c r="A111" t="s">
        <v>355</v>
      </c>
      <c r="B111">
        <f>_xlfn.VAR.P(C111:H111,I111)</f>
        <v>147.0612244897959</v>
      </c>
      <c r="C111">
        <v>1</v>
      </c>
      <c r="D111">
        <v>2</v>
      </c>
      <c r="E111">
        <v>4</v>
      </c>
      <c r="F111">
        <v>8</v>
      </c>
      <c r="G111">
        <v>16</v>
      </c>
      <c r="H111">
        <v>32</v>
      </c>
      <c r="I111">
        <v>30</v>
      </c>
    </row>
    <row r="112" spans="1:9">
      <c r="A112" t="s">
        <v>356</v>
      </c>
      <c r="B112">
        <f>_xlfn.VAR.S(C112:H112,I112)</f>
        <v>171.57142857142856</v>
      </c>
      <c r="C112">
        <v>1</v>
      </c>
      <c r="D112">
        <v>2</v>
      </c>
      <c r="E112">
        <v>4</v>
      </c>
      <c r="F112">
        <v>8</v>
      </c>
      <c r="G112">
        <v>16</v>
      </c>
      <c r="H112">
        <v>32</v>
      </c>
      <c r="I112">
        <v>30</v>
      </c>
    </row>
    <row r="113" spans="1:9">
      <c r="A113" t="s">
        <v>357</v>
      </c>
      <c r="B113">
        <f>VARA(C113:H113,I113)</f>
        <v>171.57142857142856</v>
      </c>
      <c r="C113">
        <v>1</v>
      </c>
      <c r="D113">
        <v>2</v>
      </c>
      <c r="E113">
        <v>4</v>
      </c>
      <c r="F113">
        <v>8</v>
      </c>
      <c r="G113">
        <v>16</v>
      </c>
      <c r="H113">
        <v>32</v>
      </c>
      <c r="I113">
        <v>30</v>
      </c>
    </row>
    <row r="114" spans="1:9">
      <c r="A114" t="s">
        <v>358</v>
      </c>
      <c r="B114">
        <f>VARP(C114:H114,I114)</f>
        <v>147.0612244897959</v>
      </c>
      <c r="C114">
        <v>1</v>
      </c>
      <c r="D114">
        <v>2</v>
      </c>
      <c r="E114">
        <v>4</v>
      </c>
      <c r="F114">
        <v>8</v>
      </c>
      <c r="G114">
        <v>16</v>
      </c>
      <c r="H114">
        <v>32</v>
      </c>
      <c r="I114">
        <v>30</v>
      </c>
    </row>
    <row r="115" spans="1:9">
      <c r="A115" t="s">
        <v>359</v>
      </c>
      <c r="B115">
        <f>VARPA(C115:H115,I115)</f>
        <v>147.0612244897959</v>
      </c>
      <c r="C115">
        <v>1</v>
      </c>
      <c r="D115">
        <v>2</v>
      </c>
      <c r="E115">
        <v>4</v>
      </c>
      <c r="F115">
        <v>8</v>
      </c>
      <c r="G115">
        <v>16</v>
      </c>
      <c r="H115">
        <v>32</v>
      </c>
      <c r="I115">
        <v>30</v>
      </c>
    </row>
    <row r="117" spans="1:9">
      <c r="A117" t="s">
        <v>509</v>
      </c>
    </row>
    <row r="118" spans="1:9">
      <c r="A118" t="s">
        <v>246</v>
      </c>
      <c r="B118">
        <f>_xlfn.CHISQ.TEST(D118:I118,D119:I119)</f>
        <v>0.76649193674651417</v>
      </c>
      <c r="D118">
        <v>1</v>
      </c>
      <c r="E118">
        <v>2</v>
      </c>
      <c r="F118">
        <v>3</v>
      </c>
      <c r="G118">
        <v>4</v>
      </c>
      <c r="H118">
        <v>5</v>
      </c>
      <c r="I118">
        <v>6</v>
      </c>
    </row>
    <row r="119" spans="1:9">
      <c r="A119" t="s">
        <v>247</v>
      </c>
      <c r="B119">
        <f>CHITEST(D119:I119,D118:I118)</f>
        <v>0.55181804073002705</v>
      </c>
      <c r="D119">
        <v>1.1000000000000001</v>
      </c>
      <c r="E119">
        <v>2.2000000000000002</v>
      </c>
      <c r="F119">
        <v>3.1</v>
      </c>
      <c r="G119">
        <v>7</v>
      </c>
      <c r="H119">
        <v>4</v>
      </c>
      <c r="I119">
        <v>9</v>
      </c>
    </row>
    <row r="120" spans="1:9">
      <c r="A120" t="s">
        <v>268</v>
      </c>
      <c r="B120">
        <f>_xlfn.F.TEST(D118:I118,D119:I119)</f>
        <v>0.31774423874816832</v>
      </c>
    </row>
    <row r="121" spans="1:9">
      <c r="A121" t="s">
        <v>275</v>
      </c>
      <c r="B121">
        <f>FTEST(D119:I119,D118:I118)</f>
        <v>0.31774423874816832</v>
      </c>
    </row>
    <row r="122" spans="1:9">
      <c r="A122" t="s">
        <v>348</v>
      </c>
      <c r="B122">
        <f>_xlfn.T.TEST(D118:I118,D119:I119,C122,D122)</f>
        <v>0.55113345694457505</v>
      </c>
      <c r="C122">
        <v>2</v>
      </c>
      <c r="D122">
        <v>3</v>
      </c>
    </row>
    <row r="123" spans="1:9">
      <c r="A123" t="s">
        <v>353</v>
      </c>
      <c r="B123">
        <f>TTEST(D118:I118,D119:I119,C122,D122)</f>
        <v>0.55113345694457505</v>
      </c>
    </row>
    <row r="124" spans="1:9">
      <c r="A124" t="s">
        <v>362</v>
      </c>
      <c r="B124">
        <f>_xlfn.Z.TEST(D124:I124,C124)</f>
        <v>0.39075564749935676</v>
      </c>
      <c r="C124">
        <v>3</v>
      </c>
      <c r="D124">
        <v>1</v>
      </c>
      <c r="E124">
        <v>2</v>
      </c>
      <c r="F124">
        <v>3</v>
      </c>
      <c r="G124">
        <v>4</v>
      </c>
      <c r="H124">
        <v>5</v>
      </c>
      <c r="I124">
        <v>4</v>
      </c>
    </row>
    <row r="125" spans="1:9">
      <c r="A125" t="s">
        <v>363</v>
      </c>
      <c r="B125">
        <f>ZTEST(D124:I124,C124,C125)</f>
        <v>0.46746265582105867</v>
      </c>
      <c r="C125">
        <v>5</v>
      </c>
    </row>
    <row r="127" spans="1:9">
      <c r="A127" t="s">
        <v>511</v>
      </c>
    </row>
    <row r="128" spans="1:9">
      <c r="A128" t="s">
        <v>273</v>
      </c>
      <c r="B128">
        <f>FORECAST(C128,D129:I129,D128:I128)</f>
        <v>19.628571428571426</v>
      </c>
      <c r="C128">
        <v>10</v>
      </c>
      <c r="D128">
        <v>1</v>
      </c>
      <c r="E128">
        <v>2</v>
      </c>
      <c r="F128">
        <v>3</v>
      </c>
      <c r="G128">
        <v>4</v>
      </c>
      <c r="H128">
        <v>5</v>
      </c>
      <c r="I128">
        <v>6</v>
      </c>
    </row>
    <row r="129" spans="1:9">
      <c r="A129" t="s">
        <v>274</v>
      </c>
      <c r="B129">
        <f>FREQUENCY(D128:I128,D129:I129)</f>
        <v>2</v>
      </c>
      <c r="D129">
        <v>2</v>
      </c>
      <c r="E129">
        <v>4</v>
      </c>
      <c r="F129">
        <v>6</v>
      </c>
      <c r="G129">
        <v>8</v>
      </c>
      <c r="H129">
        <v>11</v>
      </c>
      <c r="I129">
        <v>11</v>
      </c>
    </row>
    <row r="130" spans="1:9">
      <c r="A130" t="s">
        <v>283</v>
      </c>
      <c r="B130">
        <f>GROWTH(D129:I129,D128:I128)</f>
        <v>2.5725901588088202</v>
      </c>
      <c r="D130">
        <v>0.1</v>
      </c>
      <c r="E130">
        <v>0.1</v>
      </c>
      <c r="F130">
        <v>0.2</v>
      </c>
      <c r="G130">
        <v>0.2</v>
      </c>
      <c r="H130">
        <v>0.2</v>
      </c>
      <c r="I130">
        <v>0.2</v>
      </c>
    </row>
    <row r="131" spans="1:9">
      <c r="A131" t="s">
        <v>287</v>
      </c>
      <c r="B131">
        <f>INTERCEPT(D129:I129,D128:I128)</f>
        <v>0.20000000000000018</v>
      </c>
    </row>
    <row r="132" spans="1:9">
      <c r="A132" t="s">
        <v>324</v>
      </c>
      <c r="B132">
        <f>PROB(D128:I128,D130:I130,C132,D132)</f>
        <v>0.4</v>
      </c>
      <c r="C132">
        <v>2.1</v>
      </c>
      <c r="D132">
        <v>4.5</v>
      </c>
    </row>
    <row r="133" spans="1:9">
      <c r="A133" t="s">
        <v>314</v>
      </c>
      <c r="B133">
        <f>PEARSON(D118:I118,D119:I119)</f>
        <v>0.86469929256476752</v>
      </c>
    </row>
    <row r="134" spans="1:9">
      <c r="A134" t="s">
        <v>331</v>
      </c>
      <c r="B134">
        <f>RSQ(D129:I129,D128:I128)</f>
        <v>0.97142857142857142</v>
      </c>
    </row>
    <row r="135" spans="1:9">
      <c r="A135" t="s">
        <v>333</v>
      </c>
      <c r="B135">
        <f>SLOPE(D129:I129,D128:I128)</f>
        <v>1.9428571428571428</v>
      </c>
    </row>
    <row r="136" spans="1:9">
      <c r="A136" t="s">
        <v>342</v>
      </c>
      <c r="B136">
        <f>STEYX(D129:I129,D128:I128)</f>
        <v>0.69693205243716838</v>
      </c>
    </row>
    <row r="137" spans="1:9">
      <c r="D137" t="s">
        <v>512</v>
      </c>
      <c r="H137" t="s">
        <v>513</v>
      </c>
    </row>
    <row r="138" spans="1:9">
      <c r="A138" t="s">
        <v>290</v>
      </c>
      <c r="B138">
        <f>LINEST(D129:I129,D128:I128)</f>
        <v>1.9428571428571431</v>
      </c>
      <c r="D138">
        <f t="array" ref="D138:E142">LINEST(D129:I129,D128:I128,TRUE,TRUE)</f>
        <v>1.9428571428571431</v>
      </c>
      <c r="E138">
        <v>0.19999999999999929</v>
      </c>
      <c r="H138">
        <f t="array" ref="H138:I142">LOGEST(D129:I129,D128:I128,TRUE,TRUE)</f>
        <v>1.4027906571323456</v>
      </c>
      <c r="I138">
        <v>1.8339088200571829</v>
      </c>
    </row>
    <row r="139" spans="1:9">
      <c r="A139" t="s">
        <v>291</v>
      </c>
      <c r="B139">
        <f>LOGEST(D129:I129,D128:I128)</f>
        <v>1.4027906571323456</v>
      </c>
      <c r="D139">
        <v>0.16659862556700861</v>
      </c>
      <c r="E139">
        <v>0.64880843162861335</v>
      </c>
      <c r="H139">
        <v>5.1290820456947078E-2</v>
      </c>
      <c r="I139">
        <v>0.1997490475347993</v>
      </c>
    </row>
    <row r="140" spans="1:9">
      <c r="A140" t="s">
        <v>351</v>
      </c>
      <c r="B140">
        <f>TREND(D129:I129,D128:I128)</f>
        <v>2.1428571428571423</v>
      </c>
      <c r="D140">
        <v>0.97142857142857131</v>
      </c>
      <c r="E140">
        <v>0.69693205243716971</v>
      </c>
      <c r="H140">
        <v>0.91587029395585617</v>
      </c>
      <c r="I140">
        <v>0.21456489602231923</v>
      </c>
    </row>
    <row r="141" spans="1:9">
      <c r="D141">
        <v>135.99999999999994</v>
      </c>
      <c r="E141">
        <v>4</v>
      </c>
      <c r="H141">
        <v>43.545631478863783</v>
      </c>
      <c r="I141">
        <v>4</v>
      </c>
    </row>
    <row r="142" spans="1:9">
      <c r="D142">
        <v>66.05714285714285</v>
      </c>
      <c r="E142">
        <v>1.9428571428571435</v>
      </c>
      <c r="H142">
        <v>2.004757901661387</v>
      </c>
      <c r="I142">
        <v>0.18415237842027465</v>
      </c>
    </row>
    <row r="144" spans="1:9">
      <c r="A144" t="s">
        <v>351</v>
      </c>
      <c r="D144">
        <f t="array" ref="D144:I144">TREND(D129:I129,D128:I128)</f>
        <v>2.1428571428571423</v>
      </c>
      <c r="E144">
        <v>4.0857142857142854</v>
      </c>
      <c r="F144">
        <v>6.0285714285714285</v>
      </c>
      <c r="G144">
        <v>7.9714285714285715</v>
      </c>
      <c r="H144">
        <v>9.9142857142857146</v>
      </c>
      <c r="I144">
        <v>11.857142857142858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Database</vt:lpstr>
      <vt:lpstr>Date</vt:lpstr>
      <vt:lpstr>Engineering</vt:lpstr>
      <vt:lpstr>Finance</vt:lpstr>
      <vt:lpstr>Information</vt:lpstr>
      <vt:lpstr>Logical</vt:lpstr>
      <vt:lpstr>Lookup</vt:lpstr>
      <vt:lpstr>Math</vt:lpstr>
      <vt:lpstr>Statistical</vt:lpstr>
      <vt:lpstr>Text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2013-04-24T14:55:11Z</dcterms:created>
  <dcterms:modified xsi:type="dcterms:W3CDTF">2013-05-06T14:51:50Z</dcterms:modified>
</cp:coreProperties>
</file>